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etkth-my.sharepoint.com/personal/anne_laitinen_etk_fi/Documents/Työpöytä/"/>
    </mc:Choice>
  </mc:AlternateContent>
  <xr:revisionPtr revIDLastSave="0" documentId="8_{DABCAD05-9C59-4CF9-9AC2-BC099F2FC4ED}" xr6:coauthVersionLast="45" xr6:coauthVersionMax="45" xr10:uidLastSave="{00000000-0000-0000-0000-000000000000}"/>
  <bookViews>
    <workbookView xWindow="4740" yWindow="-15470" windowWidth="19420" windowHeight="14980" tabRatio="601" xr2:uid="{00000000-000D-0000-FFFF-FFFF00000000}"/>
  </bookViews>
  <sheets>
    <sheet name="Ohje" sheetId="10" r:id="rId1"/>
    <sheet name="KJ-vuosi" sheetId="2" r:id="rId2"/>
    <sheet name="Emenotiedosto" sheetId="64" r:id="rId3"/>
    <sheet name="poa2020" sheetId="66" r:id="rId4"/>
    <sheet name="poa2021" sheetId="67" r:id="rId5"/>
    <sheet name="Virkamies 1" sheetId="1" r:id="rId6"/>
    <sheet name="Virkamies 2" sheetId="27" r:id="rId7"/>
    <sheet name="Virkamies 3" sheetId="26" r:id="rId8"/>
    <sheet name="Virkamies 4" sheetId="25" r:id="rId9"/>
    <sheet name="Virkamies 5" sheetId="24" r:id="rId10"/>
    <sheet name="Virkamies 6" sheetId="23" r:id="rId11"/>
    <sheet name="Virkamies 7" sheetId="22" r:id="rId12"/>
    <sheet name="Virkamies 8" sheetId="21" r:id="rId13"/>
    <sheet name="Virkamies 9" sheetId="20" r:id="rId14"/>
    <sheet name="Virkamies 10" sheetId="19" r:id="rId15"/>
  </sheets>
  <definedNames>
    <definedName name="aika1">'Virkamies 1'!$AA$3:$AD$14</definedName>
    <definedName name="aika10">'Virkamies 10'!$AA$3:$AD$14</definedName>
    <definedName name="aika2">'Virkamies 2'!$AA$3:$AD$14</definedName>
    <definedName name="aika3">'Virkamies 3'!$AA$3:$AD$14</definedName>
    <definedName name="aika4">'Virkamies 4'!$AA$3:$AD$14</definedName>
    <definedName name="aika5">'Virkamies 5'!$AA$3:$AD$14</definedName>
    <definedName name="aika6">'Virkamies 6'!$AA$3:$AD$14</definedName>
    <definedName name="aika7">'Virkamies 7'!$AA$3:$AD$14</definedName>
    <definedName name="aika8">'Virkamies 8'!$AA$3:$AD$14</definedName>
    <definedName name="aika9">'Virkamies 9'!$AA$3:$AD$14</definedName>
    <definedName name="aikaYEL1">'Virkamies 1'!$AA$22:$AD$33</definedName>
    <definedName name="aikaYEL10">'Virkamies 10'!$AA$22:$AD$33</definedName>
    <definedName name="aikaYEL2">'Virkamies 2'!$AA$22:$AD$33</definedName>
    <definedName name="aikaYEL3">'Virkamies 3'!$AA$22:$AD$33</definedName>
    <definedName name="aikaYEL4">'Virkamies 4'!$AA$22:$AD$33</definedName>
    <definedName name="aikaYEL5">'Virkamies 5'!$AA$22:$AD$33</definedName>
    <definedName name="aikaYEL6">'Virkamies 6'!$AA$22:$AD$33</definedName>
    <definedName name="aikaYEL7">'Virkamies 7'!$AA$22:$AD$33</definedName>
    <definedName name="aikaYEL8">'Virkamies 8'!$AA$22:$AD$33</definedName>
    <definedName name="aikaYEL9">'Virkamies 9'!$AA$22:$AD$33</definedName>
    <definedName name="lisäturva">'poa2020'!$B$62:$E$114</definedName>
    <definedName name="perusturva">'poa2020'!$B$5:$C$57</definedName>
    <definedName name="_xlnm.Print_Area" localSheetId="5">'Virkamies 1'!$A$1:$I$87</definedName>
    <definedName name="vastuunjako">'poa2020'!$F$5:$I$57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27" l="1"/>
  <c r="C74" i="26"/>
  <c r="C74" i="25"/>
  <c r="C74" i="24"/>
  <c r="C74" i="23"/>
  <c r="C74" i="22"/>
  <c r="C74" i="20"/>
  <c r="C74" i="21"/>
  <c r="C74" i="19"/>
  <c r="AB31" i="23" l="1"/>
  <c r="AC31" i="23"/>
  <c r="AB32" i="23"/>
  <c r="AC32" i="23"/>
  <c r="AB33" i="23"/>
  <c r="AC33" i="23"/>
  <c r="AB9" i="19"/>
  <c r="D74" i="19" l="1"/>
  <c r="D66" i="19"/>
  <c r="C66" i="19"/>
  <c r="D58" i="19"/>
  <c r="C58" i="19"/>
  <c r="D50" i="19"/>
  <c r="C50" i="19"/>
  <c r="D74" i="20"/>
  <c r="D66" i="20"/>
  <c r="C66" i="20"/>
  <c r="D58" i="20"/>
  <c r="C58" i="20"/>
  <c r="D50" i="20"/>
  <c r="C50" i="20"/>
  <c r="D74" i="21"/>
  <c r="D66" i="21"/>
  <c r="C66" i="21"/>
  <c r="D58" i="21"/>
  <c r="C58" i="21"/>
  <c r="D50" i="21"/>
  <c r="C50" i="21"/>
  <c r="D74" i="22"/>
  <c r="D66" i="22"/>
  <c r="C66" i="22"/>
  <c r="D58" i="22"/>
  <c r="C58" i="22"/>
  <c r="D50" i="22"/>
  <c r="C50" i="22"/>
  <c r="D74" i="23"/>
  <c r="D66" i="23"/>
  <c r="C66" i="23"/>
  <c r="D58" i="23"/>
  <c r="C58" i="23"/>
  <c r="D50" i="23"/>
  <c r="C50" i="23"/>
  <c r="D74" i="24"/>
  <c r="D66" i="24"/>
  <c r="C66" i="24"/>
  <c r="D58" i="24"/>
  <c r="C58" i="24"/>
  <c r="D50" i="24"/>
  <c r="C50" i="24"/>
  <c r="D74" i="25"/>
  <c r="D66" i="25"/>
  <c r="C66" i="25"/>
  <c r="D58" i="25"/>
  <c r="C58" i="25"/>
  <c r="D74" i="27"/>
  <c r="D66" i="27"/>
  <c r="C66" i="27"/>
  <c r="D58" i="27"/>
  <c r="C58" i="27"/>
  <c r="D50" i="27"/>
  <c r="C50" i="27"/>
  <c r="D50" i="25" l="1"/>
  <c r="C50" i="25"/>
  <c r="AB33" i="24"/>
  <c r="AB32" i="24"/>
  <c r="AB31" i="24"/>
  <c r="AB30" i="24"/>
  <c r="AB29" i="24"/>
  <c r="AB28" i="24"/>
  <c r="AB30" i="23"/>
  <c r="AB29" i="23"/>
  <c r="AB28" i="23"/>
  <c r="AB33" i="22"/>
  <c r="AB32" i="22"/>
  <c r="AB31" i="22"/>
  <c r="AB30" i="22"/>
  <c r="AB29" i="22"/>
  <c r="AB28" i="22"/>
  <c r="AB33" i="21"/>
  <c r="AB32" i="21"/>
  <c r="AB31" i="21"/>
  <c r="AB30" i="21"/>
  <c r="AB29" i="21"/>
  <c r="AB28" i="21"/>
  <c r="AB33" i="20"/>
  <c r="AB32" i="20"/>
  <c r="AB31" i="20"/>
  <c r="AB30" i="20"/>
  <c r="AB29" i="20"/>
  <c r="AB28" i="20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7" i="20"/>
  <c r="AB26" i="20"/>
  <c r="AB25" i="20"/>
  <c r="AB24" i="20"/>
  <c r="AB23" i="20"/>
  <c r="AB22" i="20"/>
  <c r="AB27" i="21"/>
  <c r="AB26" i="21"/>
  <c r="AB25" i="21"/>
  <c r="AB24" i="21"/>
  <c r="AB23" i="21"/>
  <c r="AB22" i="21"/>
  <c r="AB27" i="22"/>
  <c r="AB26" i="22"/>
  <c r="AB25" i="22"/>
  <c r="AB24" i="22"/>
  <c r="AB23" i="22"/>
  <c r="AB22" i="22"/>
  <c r="AB27" i="23"/>
  <c r="AB26" i="23"/>
  <c r="AB25" i="23"/>
  <c r="AB24" i="23"/>
  <c r="AB23" i="23"/>
  <c r="AB22" i="23"/>
  <c r="AB27" i="24"/>
  <c r="AB26" i="24"/>
  <c r="AB25" i="24"/>
  <c r="AB24" i="24"/>
  <c r="AB23" i="24"/>
  <c r="AB22" i="24"/>
  <c r="AB33" i="25"/>
  <c r="AB32" i="25"/>
  <c r="AB31" i="25"/>
  <c r="AB30" i="25"/>
  <c r="AB29" i="25"/>
  <c r="AB28" i="25"/>
  <c r="AB27" i="25"/>
  <c r="AB26" i="25"/>
  <c r="AB25" i="25"/>
  <c r="AB24" i="25"/>
  <c r="AB23" i="25"/>
  <c r="AB22" i="25"/>
  <c r="AB33" i="26"/>
  <c r="AB32" i="26"/>
  <c r="AB31" i="26"/>
  <c r="AB30" i="26"/>
  <c r="AB29" i="26"/>
  <c r="AB28" i="26"/>
  <c r="AB33" i="27"/>
  <c r="AB32" i="27"/>
  <c r="AB31" i="27"/>
  <c r="AB30" i="27"/>
  <c r="AB29" i="27"/>
  <c r="AB28" i="27"/>
  <c r="AB27" i="26"/>
  <c r="AB26" i="26"/>
  <c r="AB25" i="26"/>
  <c r="AB24" i="26"/>
  <c r="AB23" i="26"/>
  <c r="AB22" i="26"/>
  <c r="AB27" i="27"/>
  <c r="AB26" i="27"/>
  <c r="AB25" i="27"/>
  <c r="AB24" i="27"/>
  <c r="AB23" i="27"/>
  <c r="AB22" i="27"/>
  <c r="AC8" i="27"/>
  <c r="AD7" i="27" s="1"/>
  <c r="AD6" i="27" s="1"/>
  <c r="AB8" i="27"/>
  <c r="AC7" i="27"/>
  <c r="AB7" i="27"/>
  <c r="AC6" i="27"/>
  <c r="AB6" i="27"/>
  <c r="AC5" i="27"/>
  <c r="AB5" i="27"/>
  <c r="AC4" i="27"/>
  <c r="AB4" i="27"/>
  <c r="AC3" i="27"/>
  <c r="AB3" i="27"/>
  <c r="AD5" i="27" l="1"/>
  <c r="AD4" i="27" s="1"/>
  <c r="AD3" i="27" s="1"/>
  <c r="D74" i="26"/>
  <c r="D66" i="26"/>
  <c r="C66" i="26"/>
  <c r="D58" i="26"/>
  <c r="C58" i="26"/>
  <c r="D50" i="26"/>
  <c r="C50" i="26"/>
  <c r="D50" i="1"/>
  <c r="C50" i="1"/>
  <c r="D58" i="1"/>
  <c r="C58" i="1"/>
  <c r="D74" i="1"/>
  <c r="C74" i="1"/>
  <c r="C66" i="1"/>
  <c r="D66" i="1"/>
  <c r="D40" i="19"/>
  <c r="D40" i="20"/>
  <c r="D40" i="21"/>
  <c r="D40" i="22"/>
  <c r="D40" i="23"/>
  <c r="D40" i="24"/>
  <c r="D40" i="25"/>
  <c r="D40" i="26"/>
  <c r="D40" i="27"/>
  <c r="D40" i="1"/>
  <c r="C78" i="26" l="1"/>
  <c r="C69" i="26"/>
  <c r="C60" i="26"/>
  <c r="C61" i="26"/>
  <c r="C84" i="26"/>
  <c r="C77" i="26"/>
  <c r="C68" i="26"/>
  <c r="C54" i="26"/>
  <c r="C80" i="26"/>
  <c r="C82" i="26"/>
  <c r="C76" i="26"/>
  <c r="C62" i="26"/>
  <c r="C53" i="26"/>
  <c r="C70" i="26"/>
  <c r="C52" i="26"/>
  <c r="C80" i="25"/>
  <c r="C70" i="25"/>
  <c r="C61" i="25"/>
  <c r="C52" i="25"/>
  <c r="C82" i="25"/>
  <c r="C53" i="25"/>
  <c r="C78" i="25"/>
  <c r="C69" i="25"/>
  <c r="C60" i="25"/>
  <c r="C76" i="25"/>
  <c r="C84" i="25"/>
  <c r="C77" i="25"/>
  <c r="C68" i="25"/>
  <c r="C54" i="25"/>
  <c r="C62" i="25"/>
  <c r="C82" i="24"/>
  <c r="C76" i="24"/>
  <c r="C62" i="24"/>
  <c r="C53" i="24"/>
  <c r="C84" i="24"/>
  <c r="C80" i="24"/>
  <c r="C70" i="24"/>
  <c r="C61" i="24"/>
  <c r="C52" i="24"/>
  <c r="C77" i="24"/>
  <c r="C54" i="24"/>
  <c r="C78" i="24"/>
  <c r="C69" i="24"/>
  <c r="C60" i="24"/>
  <c r="C68" i="24"/>
  <c r="C82" i="20"/>
  <c r="C76" i="20"/>
  <c r="C62" i="20"/>
  <c r="C53" i="20"/>
  <c r="C80" i="20"/>
  <c r="C70" i="20"/>
  <c r="C61" i="20"/>
  <c r="C52" i="20"/>
  <c r="C78" i="20"/>
  <c r="C69" i="20"/>
  <c r="C60" i="20"/>
  <c r="C84" i="20"/>
  <c r="C77" i="20"/>
  <c r="C68" i="20"/>
  <c r="C54" i="20"/>
  <c r="C78" i="22"/>
  <c r="C69" i="22"/>
  <c r="C60" i="22"/>
  <c r="C61" i="22"/>
  <c r="C84" i="22"/>
  <c r="C77" i="22"/>
  <c r="C68" i="22"/>
  <c r="C54" i="22"/>
  <c r="C80" i="22"/>
  <c r="C82" i="22"/>
  <c r="C76" i="22"/>
  <c r="C62" i="22"/>
  <c r="C53" i="22"/>
  <c r="C70" i="22"/>
  <c r="C52" i="22"/>
  <c r="C80" i="21"/>
  <c r="C70" i="21"/>
  <c r="C61" i="21"/>
  <c r="C52" i="21"/>
  <c r="C62" i="21"/>
  <c r="C78" i="21"/>
  <c r="C69" i="21"/>
  <c r="C60" i="21"/>
  <c r="C82" i="21"/>
  <c r="C84" i="21"/>
  <c r="C77" i="21"/>
  <c r="C68" i="21"/>
  <c r="C54" i="21"/>
  <c r="C76" i="21"/>
  <c r="C53" i="21"/>
  <c r="C84" i="27"/>
  <c r="C82" i="27"/>
  <c r="C76" i="27"/>
  <c r="C62" i="27"/>
  <c r="C53" i="27"/>
  <c r="C68" i="27"/>
  <c r="C80" i="27"/>
  <c r="C70" i="27"/>
  <c r="C61" i="27"/>
  <c r="C52" i="27"/>
  <c r="C77" i="27"/>
  <c r="C78" i="27"/>
  <c r="C69" i="27"/>
  <c r="C60" i="27"/>
  <c r="C54" i="27"/>
  <c r="C84" i="23"/>
  <c r="C77" i="23"/>
  <c r="C68" i="23"/>
  <c r="C54" i="23"/>
  <c r="C78" i="23"/>
  <c r="C82" i="23"/>
  <c r="C76" i="23"/>
  <c r="C62" i="23"/>
  <c r="C53" i="23"/>
  <c r="C69" i="23"/>
  <c r="C80" i="23"/>
  <c r="C70" i="23"/>
  <c r="C61" i="23"/>
  <c r="C52" i="23"/>
  <c r="C60" i="23"/>
  <c r="C84" i="19"/>
  <c r="C77" i="19"/>
  <c r="C68" i="19"/>
  <c r="C54" i="19"/>
  <c r="C60" i="19"/>
  <c r="C82" i="19"/>
  <c r="C76" i="19"/>
  <c r="C62" i="19"/>
  <c r="C53" i="19"/>
  <c r="C69" i="19"/>
  <c r="C80" i="19"/>
  <c r="C70" i="19"/>
  <c r="C61" i="19"/>
  <c r="C52" i="19"/>
  <c r="C78" i="19"/>
  <c r="C80" i="1"/>
  <c r="D80" i="1" s="1"/>
  <c r="C54" i="1"/>
  <c r="C77" i="1"/>
  <c r="C61" i="1"/>
  <c r="C60" i="1"/>
  <c r="C84" i="1"/>
  <c r="C69" i="1"/>
  <c r="C53" i="1"/>
  <c r="C82" i="1"/>
  <c r="D82" i="1" s="1"/>
  <c r="C68" i="1"/>
  <c r="C78" i="1"/>
  <c r="C76" i="1"/>
  <c r="C62" i="1"/>
  <c r="C52" i="1"/>
  <c r="C70" i="1"/>
  <c r="C67" i="21"/>
  <c r="C67" i="22"/>
  <c r="C51" i="1" l="1"/>
  <c r="C75" i="20"/>
  <c r="C67" i="24"/>
  <c r="C67" i="20"/>
  <c r="C59" i="27"/>
  <c r="C75" i="26"/>
  <c r="C59" i="21"/>
  <c r="C75" i="27"/>
  <c r="C67" i="19"/>
  <c r="C75" i="19"/>
  <c r="C51" i="20"/>
  <c r="C75" i="23"/>
  <c r="C59" i="24"/>
  <c r="C51" i="24"/>
  <c r="C75" i="24"/>
  <c r="C59" i="23"/>
  <c r="C51" i="23"/>
  <c r="C67" i="23"/>
  <c r="C51" i="21"/>
  <c r="C59" i="19"/>
  <c r="C51" i="19"/>
  <c r="C59" i="20"/>
  <c r="C75" i="21"/>
  <c r="C75" i="22"/>
  <c r="C51" i="22"/>
  <c r="C59" i="22"/>
  <c r="C59" i="25"/>
  <c r="C67" i="26"/>
  <c r="C51" i="26"/>
  <c r="C59" i="26"/>
  <c r="C67" i="1"/>
  <c r="C75" i="25"/>
  <c r="C67" i="25"/>
  <c r="C51" i="25"/>
  <c r="D41" i="19"/>
  <c r="E74" i="19" l="1"/>
  <c r="E50" i="19"/>
  <c r="E66" i="19"/>
  <c r="E58" i="19"/>
  <c r="AC33" i="20"/>
  <c r="AC32" i="20"/>
  <c r="AC31" i="20"/>
  <c r="AC30" i="20"/>
  <c r="AC29" i="20"/>
  <c r="AC28" i="20"/>
  <c r="AD29" i="20" s="1"/>
  <c r="AD30" i="20" s="1"/>
  <c r="AC27" i="20"/>
  <c r="AD26" i="20"/>
  <c r="AC26" i="20"/>
  <c r="AC25" i="20"/>
  <c r="AC24" i="20"/>
  <c r="AC23" i="20"/>
  <c r="AC22" i="20"/>
  <c r="AC33" i="21"/>
  <c r="AC32" i="21"/>
  <c r="AC31" i="21"/>
  <c r="AC30" i="21"/>
  <c r="AC29" i="21"/>
  <c r="AC28" i="21"/>
  <c r="AD29" i="21" s="1"/>
  <c r="AC27" i="21"/>
  <c r="AD26" i="21" s="1"/>
  <c r="AC26" i="21"/>
  <c r="AC25" i="21"/>
  <c r="AC24" i="21"/>
  <c r="AC23" i="21"/>
  <c r="AC22" i="21"/>
  <c r="AC33" i="22"/>
  <c r="AC32" i="22"/>
  <c r="AC31" i="22"/>
  <c r="AC30" i="22"/>
  <c r="AC29" i="22"/>
  <c r="AC28" i="22"/>
  <c r="AD29" i="22" s="1"/>
  <c r="AC27" i="22"/>
  <c r="AD26" i="22" s="1"/>
  <c r="AD25" i="22" s="1"/>
  <c r="AC26" i="22"/>
  <c r="AC25" i="22"/>
  <c r="AC24" i="22"/>
  <c r="AC23" i="22"/>
  <c r="AC22" i="22"/>
  <c r="AC30" i="23"/>
  <c r="AC29" i="23"/>
  <c r="AC28" i="23"/>
  <c r="AD29" i="23" s="1"/>
  <c r="AC27" i="23"/>
  <c r="AD26" i="23" s="1"/>
  <c r="AC26" i="23"/>
  <c r="AC25" i="23"/>
  <c r="AC24" i="23"/>
  <c r="AC23" i="23"/>
  <c r="AC22" i="23"/>
  <c r="AC33" i="24"/>
  <c r="AC32" i="24"/>
  <c r="AC31" i="24"/>
  <c r="AC30" i="24"/>
  <c r="AC29" i="24"/>
  <c r="AC28" i="24"/>
  <c r="AD29" i="24" s="1"/>
  <c r="AD30" i="24" s="1"/>
  <c r="AD31" i="24" s="1"/>
  <c r="AD32" i="24" s="1"/>
  <c r="AD33" i="24" s="1"/>
  <c r="AC27" i="24"/>
  <c r="AD26" i="24" s="1"/>
  <c r="AC26" i="24"/>
  <c r="AC25" i="24"/>
  <c r="AC24" i="24"/>
  <c r="AC23" i="24"/>
  <c r="AC22" i="24"/>
  <c r="AC33" i="25"/>
  <c r="AC32" i="25"/>
  <c r="AC31" i="25"/>
  <c r="AC30" i="25"/>
  <c r="AC29" i="25"/>
  <c r="AC28" i="25"/>
  <c r="AD29" i="25" s="1"/>
  <c r="AC27" i="25"/>
  <c r="AD26" i="25"/>
  <c r="AC26" i="25"/>
  <c r="AC25" i="25"/>
  <c r="AC24" i="25"/>
  <c r="AC23" i="25"/>
  <c r="AC22" i="25"/>
  <c r="AC29" i="26"/>
  <c r="AC28" i="26"/>
  <c r="AD29" i="26" s="1"/>
  <c r="AC27" i="26"/>
  <c r="AD26" i="26" s="1"/>
  <c r="AC33" i="27"/>
  <c r="AC32" i="27"/>
  <c r="AC31" i="27"/>
  <c r="AC30" i="27"/>
  <c r="AC29" i="27"/>
  <c r="AC28" i="27"/>
  <c r="AD29" i="27" s="1"/>
  <c r="AC27" i="27"/>
  <c r="AD26" i="27" s="1"/>
  <c r="AC26" i="27"/>
  <c r="AC25" i="27"/>
  <c r="AC24" i="27"/>
  <c r="AC23" i="27"/>
  <c r="AC22" i="27"/>
  <c r="AC29" i="19"/>
  <c r="AC28" i="19"/>
  <c r="AD29" i="19" s="1"/>
  <c r="AC27" i="19"/>
  <c r="AD26" i="19" s="1"/>
  <c r="AC23" i="19"/>
  <c r="AC24" i="19"/>
  <c r="AC25" i="19"/>
  <c r="AC26" i="19"/>
  <c r="AC30" i="19"/>
  <c r="AC31" i="19"/>
  <c r="AC32" i="19"/>
  <c r="AC33" i="19"/>
  <c r="AC14" i="19"/>
  <c r="AC13" i="19"/>
  <c r="AC12" i="19"/>
  <c r="AC11" i="19"/>
  <c r="AC10" i="19"/>
  <c r="AC9" i="19"/>
  <c r="AD10" i="19" s="1"/>
  <c r="AC8" i="19"/>
  <c r="AD7" i="19" s="1"/>
  <c r="AC7" i="19"/>
  <c r="AC6" i="19"/>
  <c r="AC5" i="19"/>
  <c r="AC4" i="19"/>
  <c r="AC3" i="19"/>
  <c r="AD30" i="26" l="1"/>
  <c r="AD25" i="24"/>
  <c r="AD31" i="20"/>
  <c r="AD32" i="20" s="1"/>
  <c r="AD33" i="20" s="1"/>
  <c r="AD30" i="25"/>
  <c r="AD31" i="25" s="1"/>
  <c r="AD32" i="25" s="1"/>
  <c r="AD33" i="25" s="1"/>
  <c r="AD30" i="27"/>
  <c r="AD31" i="27" s="1"/>
  <c r="AD32" i="27" s="1"/>
  <c r="AD33" i="27" s="1"/>
  <c r="AD25" i="20"/>
  <c r="AD24" i="20" s="1"/>
  <c r="AD23" i="20" s="1"/>
  <c r="AD22" i="20" s="1"/>
  <c r="AD30" i="21"/>
  <c r="AD31" i="21" s="1"/>
  <c r="AD32" i="21" s="1"/>
  <c r="AD33" i="21" s="1"/>
  <c r="AD25" i="21"/>
  <c r="AD30" i="22"/>
  <c r="AD31" i="22" s="1"/>
  <c r="AD32" i="22" s="1"/>
  <c r="AD33" i="22" s="1"/>
  <c r="AD25" i="23"/>
  <c r="AD24" i="23" s="1"/>
  <c r="AD23" i="23" s="1"/>
  <c r="AD22" i="23" s="1"/>
  <c r="AD30" i="23"/>
  <c r="AD31" i="23" s="1"/>
  <c r="AD32" i="23" s="1"/>
  <c r="AD33" i="23" s="1"/>
  <c r="AD24" i="21"/>
  <c r="AD23" i="21" s="1"/>
  <c r="AD22" i="21" s="1"/>
  <c r="AD24" i="22"/>
  <c r="AD23" i="22" s="1"/>
  <c r="AD22" i="22" s="1"/>
  <c r="AD24" i="24"/>
  <c r="AD23" i="24" s="1"/>
  <c r="AD22" i="24" s="1"/>
  <c r="AD25" i="25"/>
  <c r="AD24" i="25" s="1"/>
  <c r="AD23" i="25" s="1"/>
  <c r="AD22" i="25" s="1"/>
  <c r="AD25" i="27"/>
  <c r="AD24" i="27" s="1"/>
  <c r="AD23" i="27" s="1"/>
  <c r="AD22" i="27" s="1"/>
  <c r="AD30" i="19"/>
  <c r="AD31" i="19" s="1"/>
  <c r="AD32" i="19" s="1"/>
  <c r="AD33" i="19" s="1"/>
  <c r="AD25" i="19"/>
  <c r="AD24" i="19" s="1"/>
  <c r="AD23" i="19" s="1"/>
  <c r="AD22" i="19" s="1"/>
  <c r="AD11" i="19"/>
  <c r="AD12" i="19" s="1"/>
  <c r="AD13" i="19" s="1"/>
  <c r="AD14" i="19" s="1"/>
  <c r="AD6" i="19"/>
  <c r="AD5" i="19" s="1"/>
  <c r="AD4" i="19" s="1"/>
  <c r="AD3" i="19" s="1"/>
  <c r="AB29" i="1"/>
  <c r="AB28" i="1"/>
  <c r="AC29" i="1"/>
  <c r="AC28" i="1"/>
  <c r="AD29" i="1" s="1"/>
  <c r="AD30" i="1" s="1"/>
  <c r="AC27" i="1"/>
  <c r="AD26" i="1" s="1"/>
  <c r="AB27" i="1"/>
  <c r="F28" i="1" l="1"/>
  <c r="F28" i="19" l="1"/>
  <c r="F28" i="20"/>
  <c r="F28" i="21"/>
  <c r="F28" i="22"/>
  <c r="F28" i="23"/>
  <c r="F28" i="24"/>
  <c r="F28" i="25"/>
  <c r="F28" i="26"/>
  <c r="F28" i="27"/>
  <c r="AB3" i="25"/>
  <c r="AB3" i="19"/>
  <c r="AB3" i="26"/>
  <c r="AB3" i="24"/>
  <c r="AB3" i="23"/>
  <c r="AB3" i="22"/>
  <c r="AB3" i="21"/>
  <c r="AB3" i="20"/>
  <c r="AB8" i="22"/>
  <c r="AB6" i="25"/>
  <c r="D41" i="25"/>
  <c r="E46" i="25" s="1"/>
  <c r="AH1" i="26"/>
  <c r="AB10" i="1"/>
  <c r="AH1" i="27"/>
  <c r="AH1" i="1"/>
  <c r="AB22" i="1"/>
  <c r="AC26" i="26"/>
  <c r="AD25" i="26" s="1"/>
  <c r="AB3" i="1"/>
  <c r="AB10" i="27"/>
  <c r="AC7" i="26"/>
  <c r="AC8" i="26"/>
  <c r="AD7" i="26" s="1"/>
  <c r="AB6" i="26"/>
  <c r="AC4" i="25"/>
  <c r="AC5" i="25"/>
  <c r="AC6" i="25"/>
  <c r="AC7" i="25"/>
  <c r="AC8" i="25"/>
  <c r="AD7" i="25" s="1"/>
  <c r="AB10" i="25"/>
  <c r="AC4" i="24"/>
  <c r="AC5" i="24"/>
  <c r="AC6" i="24"/>
  <c r="AC7" i="24"/>
  <c r="AC8" i="24"/>
  <c r="AD7" i="24" s="1"/>
  <c r="AB6" i="24"/>
  <c r="AC4" i="23"/>
  <c r="AC5" i="23"/>
  <c r="AC6" i="23"/>
  <c r="AC7" i="23"/>
  <c r="AC8" i="23"/>
  <c r="AD7" i="23" s="1"/>
  <c r="AD6" i="23" s="1"/>
  <c r="AD5" i="23" s="1"/>
  <c r="AD4" i="23" s="1"/>
  <c r="AD3" i="23" s="1"/>
  <c r="AB8" i="23"/>
  <c r="AC4" i="22"/>
  <c r="AC5" i="22"/>
  <c r="AC6" i="22"/>
  <c r="AC7" i="22"/>
  <c r="AC8" i="22"/>
  <c r="AD7" i="22" s="1"/>
  <c r="AB5" i="22"/>
  <c r="AC4" i="21"/>
  <c r="AC5" i="21"/>
  <c r="AC6" i="21"/>
  <c r="AC7" i="21"/>
  <c r="AC8" i="21"/>
  <c r="AD7" i="21" s="1"/>
  <c r="AD6" i="21" s="1"/>
  <c r="AD5" i="21" s="1"/>
  <c r="AD4" i="21" s="1"/>
  <c r="AD3" i="21" s="1"/>
  <c r="AB11" i="21"/>
  <c r="AC4" i="20"/>
  <c r="AC5" i="20"/>
  <c r="AC6" i="20"/>
  <c r="AC7" i="20"/>
  <c r="AC8" i="20"/>
  <c r="AD7" i="20" s="1"/>
  <c r="AB8" i="20"/>
  <c r="AB8" i="19"/>
  <c r="AB14" i="26"/>
  <c r="AB13" i="26"/>
  <c r="AB12" i="26"/>
  <c r="AB11" i="26"/>
  <c r="AB10" i="26"/>
  <c r="AB9" i="26"/>
  <c r="AB8" i="26"/>
  <c r="AB7" i="26"/>
  <c r="AB5" i="26"/>
  <c r="AB4" i="26"/>
  <c r="AC4" i="26"/>
  <c r="AC5" i="26"/>
  <c r="AC6" i="26"/>
  <c r="AC23" i="26"/>
  <c r="AC24" i="26"/>
  <c r="AC25" i="26"/>
  <c r="AB32" i="1"/>
  <c r="AC23" i="1"/>
  <c r="AC24" i="1"/>
  <c r="AC25" i="1"/>
  <c r="AC26" i="1"/>
  <c r="AD25" i="1" s="1"/>
  <c r="AB6" i="19"/>
  <c r="D41" i="20"/>
  <c r="AB7" i="20"/>
  <c r="D41" i="21"/>
  <c r="AB7" i="21"/>
  <c r="D41" i="22"/>
  <c r="AB7" i="22"/>
  <c r="D41" i="23"/>
  <c r="D41" i="24"/>
  <c r="AB8" i="24"/>
  <c r="D41" i="26"/>
  <c r="D41" i="27"/>
  <c r="AC4" i="1"/>
  <c r="AC5" i="1"/>
  <c r="AC6" i="1"/>
  <c r="AC7" i="1"/>
  <c r="AC8" i="1"/>
  <c r="AD7" i="1" s="1"/>
  <c r="AB8" i="1"/>
  <c r="AB13" i="1"/>
  <c r="D41" i="1"/>
  <c r="AC22" i="19"/>
  <c r="AH20" i="19"/>
  <c r="AH20" i="20"/>
  <c r="AH20" i="21"/>
  <c r="AH20" i="22"/>
  <c r="AH20" i="23"/>
  <c r="AH20" i="24"/>
  <c r="AH20" i="25"/>
  <c r="AC30" i="26"/>
  <c r="AD31" i="26" s="1"/>
  <c r="AC31" i="26"/>
  <c r="AC32" i="26"/>
  <c r="AC33" i="26"/>
  <c r="AC22" i="26"/>
  <c r="AH20" i="26"/>
  <c r="AH20" i="27"/>
  <c r="AB9" i="1"/>
  <c r="AB14" i="1"/>
  <c r="AB33" i="1"/>
  <c r="AH20" i="1"/>
  <c r="AC33" i="1"/>
  <c r="AC32" i="1"/>
  <c r="AC31" i="1"/>
  <c r="AC30" i="1"/>
  <c r="AD31" i="1" s="1"/>
  <c r="AC22" i="1"/>
  <c r="AB31" i="1"/>
  <c r="AB30" i="1"/>
  <c r="AB26" i="1"/>
  <c r="AB25" i="1"/>
  <c r="AB24" i="1"/>
  <c r="AB23" i="1"/>
  <c r="AB11" i="27"/>
  <c r="AC9" i="26"/>
  <c r="AD10" i="26" s="1"/>
  <c r="AD11" i="26" s="1"/>
  <c r="AD12" i="26" s="1"/>
  <c r="AC10" i="26"/>
  <c r="AC11" i="26"/>
  <c r="AC12" i="26"/>
  <c r="AC13" i="26"/>
  <c r="AC14" i="26"/>
  <c r="AC3" i="26"/>
  <c r="AC9" i="27"/>
  <c r="AD10" i="27" s="1"/>
  <c r="AB14" i="27"/>
  <c r="AB13" i="27"/>
  <c r="AB12" i="27"/>
  <c r="AB9" i="27"/>
  <c r="AB14" i="25"/>
  <c r="AB13" i="25"/>
  <c r="AB12" i="25"/>
  <c r="AB11" i="25"/>
  <c r="AB9" i="25"/>
  <c r="AB14" i="24"/>
  <c r="AB13" i="24"/>
  <c r="AB12" i="24"/>
  <c r="AB11" i="24"/>
  <c r="AB10" i="24"/>
  <c r="AB9" i="24"/>
  <c r="AB14" i="23"/>
  <c r="AB13" i="23"/>
  <c r="AB12" i="23"/>
  <c r="AB11" i="23"/>
  <c r="AB10" i="23"/>
  <c r="AB9" i="23"/>
  <c r="AB14" i="22"/>
  <c r="AB13" i="22"/>
  <c r="AB12" i="22"/>
  <c r="AB11" i="22"/>
  <c r="AB10" i="22"/>
  <c r="AB9" i="22"/>
  <c r="AB14" i="21"/>
  <c r="AB13" i="21"/>
  <c r="AB12" i="21"/>
  <c r="AB10" i="21"/>
  <c r="AB9" i="21"/>
  <c r="AB14" i="20"/>
  <c r="AB13" i="20"/>
  <c r="AB12" i="20"/>
  <c r="AB11" i="20"/>
  <c r="AB10" i="20"/>
  <c r="AB9" i="20"/>
  <c r="AB14" i="19"/>
  <c r="AB13" i="19"/>
  <c r="AB12" i="19"/>
  <c r="AB11" i="19"/>
  <c r="AB10" i="19"/>
  <c r="AB7" i="19"/>
  <c r="AB5" i="19"/>
  <c r="AB4" i="19"/>
  <c r="AC9" i="20"/>
  <c r="AD10" i="20" s="1"/>
  <c r="AC10" i="20"/>
  <c r="AC11" i="20"/>
  <c r="AC12" i="20"/>
  <c r="AC13" i="20"/>
  <c r="AC14" i="20"/>
  <c r="AB6" i="20"/>
  <c r="AB5" i="20"/>
  <c r="AB4" i="20"/>
  <c r="AC3" i="20"/>
  <c r="AC9" i="21"/>
  <c r="AD10" i="21" s="1"/>
  <c r="AC10" i="21"/>
  <c r="AC11" i="21"/>
  <c r="AC12" i="21"/>
  <c r="AC13" i="21"/>
  <c r="AC14" i="21"/>
  <c r="AB8" i="21"/>
  <c r="AB6" i="21"/>
  <c r="AB5" i="21"/>
  <c r="AB4" i="21"/>
  <c r="AC3" i="21"/>
  <c r="AC9" i="22"/>
  <c r="AD10" i="22" s="1"/>
  <c r="AC10" i="22"/>
  <c r="AC11" i="22"/>
  <c r="AC12" i="22"/>
  <c r="AC13" i="22"/>
  <c r="AC14" i="22"/>
  <c r="AB6" i="22"/>
  <c r="AB4" i="22"/>
  <c r="AC3" i="22"/>
  <c r="AC9" i="23"/>
  <c r="AD10" i="23" s="1"/>
  <c r="AD11" i="23" s="1"/>
  <c r="AC10" i="23"/>
  <c r="AC11" i="23"/>
  <c r="AC12" i="23"/>
  <c r="AC13" i="23"/>
  <c r="AC14" i="23"/>
  <c r="AB7" i="23"/>
  <c r="AB6" i="23"/>
  <c r="AB5" i="23"/>
  <c r="AB4" i="23"/>
  <c r="AC3" i="23"/>
  <c r="AC9" i="24"/>
  <c r="AD10" i="24" s="1"/>
  <c r="AC10" i="24"/>
  <c r="AC11" i="24"/>
  <c r="AC12" i="24"/>
  <c r="AC13" i="24"/>
  <c r="AC14" i="24"/>
  <c r="AB7" i="24"/>
  <c r="AB5" i="24"/>
  <c r="AB4" i="24"/>
  <c r="AC3" i="24"/>
  <c r="AC9" i="25"/>
  <c r="AD10" i="25" s="1"/>
  <c r="AC10" i="25"/>
  <c r="AC11" i="25"/>
  <c r="AC12" i="25"/>
  <c r="AC13" i="25"/>
  <c r="AC14" i="25"/>
  <c r="AB8" i="25"/>
  <c r="AB7" i="25"/>
  <c r="AB5" i="25"/>
  <c r="AB4" i="25"/>
  <c r="AC3" i="25"/>
  <c r="AC10" i="27"/>
  <c r="AC11" i="27"/>
  <c r="AC12" i="27"/>
  <c r="AC13" i="27"/>
  <c r="AC14" i="27"/>
  <c r="AB6" i="1"/>
  <c r="AC3" i="1"/>
  <c r="AB4" i="1"/>
  <c r="AB5" i="1"/>
  <c r="AB7" i="1"/>
  <c r="AC9" i="1"/>
  <c r="AD10" i="1" s="1"/>
  <c r="AC10" i="1"/>
  <c r="AB11" i="1"/>
  <c r="AC11" i="1"/>
  <c r="AB12" i="1"/>
  <c r="AC12" i="1"/>
  <c r="AC13" i="1"/>
  <c r="AC14" i="1"/>
  <c r="AH1" i="19"/>
  <c r="AH1" i="20"/>
  <c r="AH1" i="21"/>
  <c r="AH1" i="22"/>
  <c r="AH1" i="23"/>
  <c r="AH1" i="24"/>
  <c r="AH1" i="25"/>
  <c r="AD13" i="26" l="1"/>
  <c r="AD6" i="22"/>
  <c r="AD5" i="22" s="1"/>
  <c r="AD4" i="22" s="1"/>
  <c r="AD3" i="22" s="1"/>
  <c r="I54" i="26"/>
  <c r="AD11" i="27"/>
  <c r="AD12" i="27" s="1"/>
  <c r="AD13" i="27" s="1"/>
  <c r="AD14" i="27" s="1"/>
  <c r="AD32" i="1"/>
  <c r="AD33" i="1" s="1"/>
  <c r="E58" i="26"/>
  <c r="E66" i="26"/>
  <c r="E74" i="26"/>
  <c r="E50" i="26"/>
  <c r="AD24" i="1"/>
  <c r="AD23" i="1" s="1"/>
  <c r="AD22" i="1" s="1"/>
  <c r="E74" i="25"/>
  <c r="E66" i="25"/>
  <c r="E58" i="25"/>
  <c r="E50" i="25"/>
  <c r="E74" i="22"/>
  <c r="E50" i="22"/>
  <c r="E66" i="22"/>
  <c r="E58" i="22"/>
  <c r="E74" i="20"/>
  <c r="E50" i="20"/>
  <c r="E66" i="20"/>
  <c r="E58" i="20"/>
  <c r="AD6" i="25"/>
  <c r="AD11" i="24"/>
  <c r="AD12" i="24" s="1"/>
  <c r="AD13" i="24" s="1"/>
  <c r="AD14" i="24" s="1"/>
  <c r="AD11" i="20"/>
  <c r="AD32" i="26"/>
  <c r="AD33" i="26" s="1"/>
  <c r="AD6" i="1"/>
  <c r="AD5" i="1" s="1"/>
  <c r="AD4" i="1" s="1"/>
  <c r="AD3" i="1" s="1"/>
  <c r="I54" i="20" s="1"/>
  <c r="E74" i="24"/>
  <c r="E66" i="24"/>
  <c r="E50" i="24"/>
  <c r="E58" i="24"/>
  <c r="AD6" i="24"/>
  <c r="AD6" i="26"/>
  <c r="AD5" i="26" s="1"/>
  <c r="AD4" i="26" s="1"/>
  <c r="AD3" i="26" s="1"/>
  <c r="AD24" i="26"/>
  <c r="AD23" i="26" s="1"/>
  <c r="AD22" i="26" s="1"/>
  <c r="AD14" i="26"/>
  <c r="E74" i="1"/>
  <c r="E58" i="1"/>
  <c r="E66" i="1"/>
  <c r="E50" i="1"/>
  <c r="E66" i="27"/>
  <c r="E74" i="27"/>
  <c r="E50" i="27"/>
  <c r="E58" i="27"/>
  <c r="E74" i="23"/>
  <c r="E50" i="23"/>
  <c r="E66" i="23"/>
  <c r="E58" i="23"/>
  <c r="E74" i="21"/>
  <c r="E66" i="21"/>
  <c r="E50" i="21"/>
  <c r="E58" i="21"/>
  <c r="E82" i="1"/>
  <c r="D84" i="19"/>
  <c r="E84" i="19" s="1"/>
  <c r="D82" i="19"/>
  <c r="E82" i="19" s="1"/>
  <c r="D77" i="19"/>
  <c r="E77" i="19" s="1"/>
  <c r="D69" i="19"/>
  <c r="E69" i="19" s="1"/>
  <c r="D61" i="19"/>
  <c r="E61" i="19" s="1"/>
  <c r="D52" i="19"/>
  <c r="E52" i="19" s="1"/>
  <c r="G52" i="19" s="1"/>
  <c r="D76" i="19"/>
  <c r="E76" i="19" s="1"/>
  <c r="D68" i="19"/>
  <c r="D60" i="19"/>
  <c r="E60" i="19" s="1"/>
  <c r="D53" i="19"/>
  <c r="E53" i="19" s="1"/>
  <c r="D84" i="20"/>
  <c r="D82" i="20"/>
  <c r="E82" i="20" s="1"/>
  <c r="D80" i="20"/>
  <c r="D84" i="21"/>
  <c r="E84" i="21" s="1"/>
  <c r="D82" i="21"/>
  <c r="E82" i="21" s="1"/>
  <c r="D80" i="21"/>
  <c r="E80" i="21" s="1"/>
  <c r="D84" i="22"/>
  <c r="D80" i="22"/>
  <c r="D84" i="23"/>
  <c r="E84" i="23" s="1"/>
  <c r="D82" i="23"/>
  <c r="E82" i="23" s="1"/>
  <c r="D84" i="24"/>
  <c r="D82" i="24"/>
  <c r="E82" i="24" s="1"/>
  <c r="D84" i="25"/>
  <c r="D80" i="25"/>
  <c r="D82" i="25"/>
  <c r="E82" i="25" s="1"/>
  <c r="D84" i="26"/>
  <c r="E84" i="26" s="1"/>
  <c r="D82" i="26"/>
  <c r="E82" i="26" s="1"/>
  <c r="D84" i="1"/>
  <c r="D84" i="27"/>
  <c r="E84" i="27" s="1"/>
  <c r="D68" i="27"/>
  <c r="E68" i="27" s="1"/>
  <c r="D76" i="27"/>
  <c r="E76" i="27" s="1"/>
  <c r="D80" i="27"/>
  <c r="E80" i="27" s="1"/>
  <c r="D82" i="27"/>
  <c r="E82" i="27" s="1"/>
  <c r="D69" i="27"/>
  <c r="D77" i="27"/>
  <c r="AD12" i="20"/>
  <c r="AD13" i="20" s="1"/>
  <c r="D76" i="20"/>
  <c r="D61" i="20"/>
  <c r="D77" i="20"/>
  <c r="D52" i="20"/>
  <c r="D60" i="20"/>
  <c r="D53" i="20"/>
  <c r="D69" i="20"/>
  <c r="E69" i="20" s="1"/>
  <c r="AD14" i="20"/>
  <c r="E46" i="20"/>
  <c r="AD6" i="20"/>
  <c r="AD5" i="20" s="1"/>
  <c r="AD4" i="20" s="1"/>
  <c r="AD3" i="20" s="1"/>
  <c r="D76" i="21"/>
  <c r="E76" i="21" s="1"/>
  <c r="D68" i="21"/>
  <c r="E68" i="21" s="1"/>
  <c r="D61" i="21"/>
  <c r="E61" i="21" s="1"/>
  <c r="D53" i="21"/>
  <c r="E53" i="21" s="1"/>
  <c r="D52" i="21"/>
  <c r="E52" i="21" s="1"/>
  <c r="D77" i="21"/>
  <c r="E77" i="21" s="1"/>
  <c r="D69" i="21"/>
  <c r="E69" i="21" s="1"/>
  <c r="AD11" i="21"/>
  <c r="AD12" i="21" s="1"/>
  <c r="AD13" i="21" s="1"/>
  <c r="AD14" i="21" s="1"/>
  <c r="AD5" i="24"/>
  <c r="AD4" i="24" s="1"/>
  <c r="AD3" i="24" s="1"/>
  <c r="D77" i="22"/>
  <c r="D69" i="22"/>
  <c r="E69" i="22" s="1"/>
  <c r="D76" i="22"/>
  <c r="D53" i="22"/>
  <c r="D60" i="22"/>
  <c r="D52" i="22"/>
  <c r="D68" i="22"/>
  <c r="E68" i="22" s="1"/>
  <c r="D61" i="22"/>
  <c r="AD11" i="22"/>
  <c r="AD12" i="22" s="1"/>
  <c r="AD13" i="22" s="1"/>
  <c r="AD14" i="22" s="1"/>
  <c r="AD12" i="23"/>
  <c r="AD13" i="23" s="1"/>
  <c r="AD14" i="23" s="1"/>
  <c r="D77" i="23"/>
  <c r="E77" i="23" s="1"/>
  <c r="D69" i="23"/>
  <c r="E69" i="23" s="1"/>
  <c r="D76" i="23"/>
  <c r="E76" i="23" s="1"/>
  <c r="D68" i="23"/>
  <c r="E68" i="23" s="1"/>
  <c r="D61" i="23"/>
  <c r="E61" i="23" s="1"/>
  <c r="D53" i="23"/>
  <c r="E53" i="23" s="1"/>
  <c r="D60" i="23"/>
  <c r="E60" i="23" s="1"/>
  <c r="D52" i="23"/>
  <c r="E52" i="23" s="1"/>
  <c r="D77" i="24"/>
  <c r="D69" i="24"/>
  <c r="E69" i="24" s="1"/>
  <c r="D76" i="24"/>
  <c r="E76" i="24" s="1"/>
  <c r="D68" i="24"/>
  <c r="E68" i="24" s="1"/>
  <c r="D61" i="24"/>
  <c r="D53" i="24"/>
  <c r="D60" i="24"/>
  <c r="E60" i="24" s="1"/>
  <c r="D52" i="24"/>
  <c r="D68" i="25"/>
  <c r="E68" i="25" s="1"/>
  <c r="D60" i="25"/>
  <c r="D77" i="25"/>
  <c r="D69" i="25"/>
  <c r="E69" i="25" s="1"/>
  <c r="D53" i="25"/>
  <c r="D76" i="25"/>
  <c r="D61" i="25"/>
  <c r="D52" i="25"/>
  <c r="AD5" i="25"/>
  <c r="AD4" i="25" s="1"/>
  <c r="AD3" i="25" s="1"/>
  <c r="AD11" i="25"/>
  <c r="AD12" i="25" s="1"/>
  <c r="AD13" i="25" s="1"/>
  <c r="AD14" i="25" s="1"/>
  <c r="D76" i="26"/>
  <c r="E76" i="26" s="1"/>
  <c r="D68" i="26"/>
  <c r="E68" i="26" s="1"/>
  <c r="D61" i="26"/>
  <c r="E61" i="26" s="1"/>
  <c r="D53" i="26"/>
  <c r="E53" i="26" s="1"/>
  <c r="D77" i="26"/>
  <c r="E77" i="26" s="1"/>
  <c r="D60" i="26"/>
  <c r="E60" i="26" s="1"/>
  <c r="D52" i="26"/>
  <c r="E52" i="26" s="1"/>
  <c r="D69" i="26"/>
  <c r="E69" i="26" s="1"/>
  <c r="D52" i="27"/>
  <c r="E52" i="27" s="1"/>
  <c r="D61" i="27"/>
  <c r="D53" i="27"/>
  <c r="D60" i="27"/>
  <c r="E60" i="27" s="1"/>
  <c r="E46" i="22"/>
  <c r="D76" i="1"/>
  <c r="D52" i="1"/>
  <c r="D69" i="1"/>
  <c r="E69" i="1" s="1"/>
  <c r="D60" i="1"/>
  <c r="D68" i="1"/>
  <c r="E68" i="1" s="1"/>
  <c r="D77" i="1"/>
  <c r="D53" i="1"/>
  <c r="E46" i="26"/>
  <c r="E46" i="27"/>
  <c r="E46" i="21"/>
  <c r="E46" i="23"/>
  <c r="E46" i="1"/>
  <c r="E46" i="19"/>
  <c r="E46" i="24"/>
  <c r="AD11" i="1"/>
  <c r="AD12" i="1" s="1"/>
  <c r="AD13" i="1" s="1"/>
  <c r="AD14" i="1" s="1"/>
  <c r="E76" i="22" l="1"/>
  <c r="E80" i="22"/>
  <c r="I54" i="21"/>
  <c r="E52" i="25"/>
  <c r="E52" i="22"/>
  <c r="E84" i="22"/>
  <c r="I54" i="19"/>
  <c r="I54" i="25"/>
  <c r="E60" i="22"/>
  <c r="E77" i="22"/>
  <c r="I54" i="27"/>
  <c r="I54" i="24"/>
  <c r="I54" i="1"/>
  <c r="E76" i="25"/>
  <c r="E60" i="25"/>
  <c r="E61" i="22"/>
  <c r="I54" i="22"/>
  <c r="I54" i="23"/>
  <c r="D61" i="1"/>
  <c r="E61" i="1" s="1"/>
  <c r="C59" i="1"/>
  <c r="E80" i="1"/>
  <c r="H80" i="1" s="1"/>
  <c r="G80" i="1" s="1"/>
  <c r="E60" i="1"/>
  <c r="E53" i="1"/>
  <c r="G53" i="1" s="1"/>
  <c r="E53" i="25"/>
  <c r="G53" i="25" s="1"/>
  <c r="E77" i="25"/>
  <c r="E53" i="24"/>
  <c r="G53" i="24" s="1"/>
  <c r="E77" i="24"/>
  <c r="E77" i="20"/>
  <c r="E76" i="1"/>
  <c r="E61" i="24"/>
  <c r="E53" i="20"/>
  <c r="G53" i="20" s="1"/>
  <c r="E61" i="20"/>
  <c r="E84" i="24"/>
  <c r="E80" i="20"/>
  <c r="E77" i="1"/>
  <c r="E52" i="1"/>
  <c r="G52" i="1" s="1"/>
  <c r="E61" i="25"/>
  <c r="E52" i="24"/>
  <c r="G52" i="24" s="1"/>
  <c r="E60" i="20"/>
  <c r="E76" i="20"/>
  <c r="E84" i="1"/>
  <c r="E80" i="25"/>
  <c r="H80" i="25" s="1"/>
  <c r="G80" i="25" s="1"/>
  <c r="E52" i="20"/>
  <c r="G52" i="20" s="1"/>
  <c r="E84" i="25"/>
  <c r="E84" i="20"/>
  <c r="D62" i="1"/>
  <c r="D54" i="1"/>
  <c r="D51" i="1" s="1"/>
  <c r="E51" i="1" s="1"/>
  <c r="D70" i="1"/>
  <c r="D67" i="1" s="1"/>
  <c r="E67" i="1" s="1"/>
  <c r="D78" i="1"/>
  <c r="D75" i="1" s="1"/>
  <c r="E75" i="1" s="1"/>
  <c r="C75" i="1"/>
  <c r="D70" i="19"/>
  <c r="D67" i="19" s="1"/>
  <c r="E67" i="19" s="1"/>
  <c r="D54" i="19"/>
  <c r="D51" i="19" s="1"/>
  <c r="E51" i="19" s="1"/>
  <c r="E54" i="19" s="1"/>
  <c r="D78" i="19"/>
  <c r="D75" i="19" s="1"/>
  <c r="E75" i="19" s="1"/>
  <c r="D62" i="19"/>
  <c r="D59" i="19" s="1"/>
  <c r="E59" i="19" s="1"/>
  <c r="D62" i="20"/>
  <c r="D59" i="20" s="1"/>
  <c r="E59" i="20" s="1"/>
  <c r="D70" i="20"/>
  <c r="D70" i="21"/>
  <c r="D67" i="21" s="1"/>
  <c r="E67" i="21" s="1"/>
  <c r="D78" i="21"/>
  <c r="D75" i="21" s="1"/>
  <c r="E75" i="21" s="1"/>
  <c r="D70" i="22"/>
  <c r="D67" i="22" s="1"/>
  <c r="E67" i="22" s="1"/>
  <c r="D62" i="22"/>
  <c r="D59" i="22" s="1"/>
  <c r="E59" i="22" s="1"/>
  <c r="D54" i="22"/>
  <c r="D51" i="22" s="1"/>
  <c r="E51" i="22" s="1"/>
  <c r="D70" i="23"/>
  <c r="D67" i="23" s="1"/>
  <c r="E67" i="23" s="1"/>
  <c r="D54" i="23"/>
  <c r="D51" i="23" s="1"/>
  <c r="E51" i="23" s="1"/>
  <c r="D62" i="23"/>
  <c r="D59" i="23" s="1"/>
  <c r="E59" i="23" s="1"/>
  <c r="D70" i="24"/>
  <c r="D67" i="24" s="1"/>
  <c r="E67" i="24" s="1"/>
  <c r="D54" i="24"/>
  <c r="D51" i="24" s="1"/>
  <c r="E51" i="24" s="1"/>
  <c r="D62" i="24"/>
  <c r="D59" i="24" s="1"/>
  <c r="E59" i="24" s="1"/>
  <c r="D70" i="25"/>
  <c r="D67" i="25" s="1"/>
  <c r="E67" i="25" s="1"/>
  <c r="D78" i="25"/>
  <c r="D75" i="25" s="1"/>
  <c r="E75" i="25" s="1"/>
  <c r="D62" i="25"/>
  <c r="D59" i="25" s="1"/>
  <c r="E59" i="25" s="1"/>
  <c r="D62" i="26"/>
  <c r="D59" i="26" s="1"/>
  <c r="E59" i="26" s="1"/>
  <c r="D78" i="27"/>
  <c r="D75" i="27" s="1"/>
  <c r="E75" i="27" s="1"/>
  <c r="D54" i="27"/>
  <c r="D51" i="27" s="1"/>
  <c r="E51" i="27" s="1"/>
  <c r="C51" i="27"/>
  <c r="D62" i="27"/>
  <c r="D59" i="27" s="1"/>
  <c r="E59" i="27" s="1"/>
  <c r="D70" i="27"/>
  <c r="D67" i="27" s="1"/>
  <c r="E67" i="27" s="1"/>
  <c r="C67" i="27"/>
  <c r="E77" i="27"/>
  <c r="E61" i="27"/>
  <c r="E53" i="27"/>
  <c r="G53" i="27" s="1"/>
  <c r="E69" i="27"/>
  <c r="G69" i="27" s="1"/>
  <c r="E68" i="19"/>
  <c r="G68" i="19" s="1"/>
  <c r="E53" i="22"/>
  <c r="G53" i="22" s="1"/>
  <c r="D80" i="19"/>
  <c r="C86" i="19"/>
  <c r="D78" i="20"/>
  <c r="D75" i="20" s="1"/>
  <c r="E75" i="20" s="1"/>
  <c r="D68" i="20"/>
  <c r="D54" i="20"/>
  <c r="D51" i="20" s="1"/>
  <c r="E51" i="20" s="1"/>
  <c r="C86" i="20"/>
  <c r="D54" i="21"/>
  <c r="D51" i="21" s="1"/>
  <c r="E51" i="21" s="1"/>
  <c r="C86" i="21"/>
  <c r="D62" i="21"/>
  <c r="D60" i="21"/>
  <c r="E60" i="21" s="1"/>
  <c r="C86" i="22"/>
  <c r="D82" i="22"/>
  <c r="E82" i="22" s="1"/>
  <c r="D78" i="22"/>
  <c r="D75" i="22" s="1"/>
  <c r="E75" i="22" s="1"/>
  <c r="C86" i="23"/>
  <c r="D80" i="23"/>
  <c r="E80" i="23" s="1"/>
  <c r="D78" i="23"/>
  <c r="D75" i="23" s="1"/>
  <c r="E75" i="23" s="1"/>
  <c r="D78" i="24"/>
  <c r="D75" i="24" s="1"/>
  <c r="E75" i="24" s="1"/>
  <c r="C86" i="24"/>
  <c r="D80" i="24"/>
  <c r="E80" i="24" s="1"/>
  <c r="C86" i="25"/>
  <c r="D54" i="25"/>
  <c r="D70" i="26"/>
  <c r="D67" i="26" s="1"/>
  <c r="E67" i="26" s="1"/>
  <c r="D54" i="26"/>
  <c r="D51" i="26" s="1"/>
  <c r="E51" i="26" s="1"/>
  <c r="D78" i="26"/>
  <c r="D75" i="26" s="1"/>
  <c r="E75" i="26" s="1"/>
  <c r="C86" i="26"/>
  <c r="D80" i="26"/>
  <c r="E80" i="26" s="1"/>
  <c r="I80" i="26" s="1"/>
  <c r="C86" i="27"/>
  <c r="G53" i="19"/>
  <c r="G54" i="19" s="1"/>
  <c r="G69" i="22"/>
  <c r="G52" i="23"/>
  <c r="G53" i="23"/>
  <c r="G52" i="26"/>
  <c r="C86" i="1"/>
  <c r="G68" i="23"/>
  <c r="G69" i="19"/>
  <c r="G53" i="26"/>
  <c r="G69" i="21"/>
  <c r="G68" i="22"/>
  <c r="G69" i="24"/>
  <c r="G52" i="27"/>
  <c r="G69" i="20"/>
  <c r="G68" i="21"/>
  <c r="I80" i="22"/>
  <c r="G52" i="22"/>
  <c r="G68" i="1"/>
  <c r="G53" i="21"/>
  <c r="I80" i="21"/>
  <c r="G69" i="1"/>
  <c r="G52" i="25"/>
  <c r="G52" i="21"/>
  <c r="G69" i="23"/>
  <c r="G68" i="24"/>
  <c r="G68" i="26"/>
  <c r="G68" i="27"/>
  <c r="G69" i="25"/>
  <c r="G68" i="25"/>
  <c r="G69" i="26"/>
  <c r="D59" i="1" l="1"/>
  <c r="E59" i="1" s="1"/>
  <c r="E62" i="1" s="1"/>
  <c r="D86" i="27"/>
  <c r="D86" i="1"/>
  <c r="D59" i="21"/>
  <c r="E59" i="21" s="1"/>
  <c r="E62" i="21" s="1"/>
  <c r="G70" i="22"/>
  <c r="G70" i="19"/>
  <c r="D86" i="19"/>
  <c r="E80" i="19"/>
  <c r="E68" i="20"/>
  <c r="G68" i="20" s="1"/>
  <c r="G70" i="20" s="1"/>
  <c r="D67" i="20"/>
  <c r="E67" i="20" s="1"/>
  <c r="F6" i="64" s="1"/>
  <c r="G54" i="22"/>
  <c r="D86" i="25"/>
  <c r="D51" i="25"/>
  <c r="E51" i="25" s="1"/>
  <c r="E54" i="25" s="1"/>
  <c r="G70" i="21"/>
  <c r="D86" i="22"/>
  <c r="D86" i="23"/>
  <c r="D86" i="20"/>
  <c r="D86" i="21"/>
  <c r="E54" i="21"/>
  <c r="E78" i="22"/>
  <c r="E78" i="23"/>
  <c r="J52" i="10"/>
  <c r="D86" i="24"/>
  <c r="E62" i="26"/>
  <c r="D86" i="26"/>
  <c r="I80" i="24"/>
  <c r="H80" i="27"/>
  <c r="G80" i="27" s="1"/>
  <c r="E70" i="19"/>
  <c r="F31" i="64"/>
  <c r="G70" i="24"/>
  <c r="E54" i="23"/>
  <c r="G54" i="23"/>
  <c r="G54" i="21"/>
  <c r="E70" i="22"/>
  <c r="F27" i="64"/>
  <c r="G70" i="23"/>
  <c r="E78" i="20"/>
  <c r="G54" i="26"/>
  <c r="E62" i="23"/>
  <c r="G54" i="20"/>
  <c r="I80" i="27"/>
  <c r="F22" i="64"/>
  <c r="H80" i="24"/>
  <c r="G80" i="24" s="1"/>
  <c r="H80" i="22"/>
  <c r="G80" i="22" s="1"/>
  <c r="I80" i="1"/>
  <c r="E78" i="26"/>
  <c r="G54" i="27"/>
  <c r="I80" i="25"/>
  <c r="E78" i="24"/>
  <c r="G54" i="24"/>
  <c r="E62" i="19"/>
  <c r="G70" i="1"/>
  <c r="E54" i="24"/>
  <c r="G54" i="1"/>
  <c r="E78" i="21"/>
  <c r="H80" i="21"/>
  <c r="G80" i="21" s="1"/>
  <c r="E62" i="22"/>
  <c r="E54" i="20"/>
  <c r="H80" i="26"/>
  <c r="G80" i="26" s="1"/>
  <c r="E70" i="21"/>
  <c r="E62" i="24"/>
  <c r="E78" i="25"/>
  <c r="E78" i="27"/>
  <c r="G54" i="25"/>
  <c r="E62" i="27"/>
  <c r="E70" i="1"/>
  <c r="E70" i="23"/>
  <c r="E62" i="25"/>
  <c r="E54" i="22"/>
  <c r="E78" i="1"/>
  <c r="E70" i="24"/>
  <c r="E70" i="26"/>
  <c r="G70" i="26"/>
  <c r="E54" i="1"/>
  <c r="F11" i="64"/>
  <c r="F13" i="64"/>
  <c r="E54" i="27"/>
  <c r="E54" i="26"/>
  <c r="G70" i="25"/>
  <c r="E70" i="25"/>
  <c r="G70" i="27"/>
  <c r="E70" i="27"/>
  <c r="F7" i="64" l="1"/>
  <c r="E86" i="25"/>
  <c r="E70" i="20"/>
  <c r="I80" i="19"/>
  <c r="H80" i="19"/>
  <c r="G80" i="19" s="1"/>
  <c r="J53" i="10"/>
  <c r="E86" i="24"/>
  <c r="E86" i="26"/>
  <c r="E86" i="23"/>
  <c r="E86" i="21"/>
  <c r="E86" i="27"/>
  <c r="E86" i="22"/>
  <c r="F12" i="64"/>
  <c r="F5" i="64"/>
  <c r="F10" i="64"/>
  <c r="F4" i="64"/>
  <c r="E86" i="1"/>
  <c r="E78" i="19"/>
  <c r="E86" i="19" s="1"/>
  <c r="E62" i="20"/>
  <c r="H80" i="23"/>
  <c r="G80" i="23" s="1"/>
  <c r="I80" i="23"/>
  <c r="I80" i="20"/>
  <c r="H80" i="20"/>
  <c r="G80" i="20" s="1"/>
  <c r="F17" i="64" l="1"/>
  <c r="E86" i="20"/>
</calcChain>
</file>

<file path=xl/sharedStrings.xml><?xml version="1.0" encoding="utf-8"?>
<sst xmlns="http://schemas.openxmlformats.org/spreadsheetml/2006/main" count="1115" uniqueCount="177">
  <si>
    <t>Siirtomäärän maksuosuuden eräpäivä</t>
  </si>
  <si>
    <t>Vanhuuseläke</t>
  </si>
  <si>
    <t>Työkyvyttömyyseläke</t>
  </si>
  <si>
    <t>Perhe-eläke</t>
  </si>
  <si>
    <t>MYEL-perusturvan pääoma-arvo</t>
  </si>
  <si>
    <t>Henkilötunnus</t>
  </si>
  <si>
    <t>Siirtomäärän laskentapäivä</t>
  </si>
  <si>
    <t>Ennakkolaskelmalla esiintyvä perusturvan ansaittu eläkeoikeus</t>
  </si>
  <si>
    <t>SIIRTOMÄÄRÄ</t>
  </si>
  <si>
    <t>mukainen pääoma-arvo</t>
  </si>
  <si>
    <t>Siirtomäärä yhteensä</t>
  </si>
  <si>
    <t>TEL-lisäturvan pääoma-arvo</t>
  </si>
  <si>
    <t>YEL-perusturvan pääoma-arvo</t>
  </si>
  <si>
    <t>YEL-lisäturvan pääoma-arvo</t>
  </si>
  <si>
    <t>Ennakkolaskelman</t>
  </si>
  <si>
    <t>Per</t>
  </si>
  <si>
    <t>MEL-ylitteen pääoma-arvo</t>
  </si>
  <si>
    <t>(samassa indeksissäkin kuin ennakkolaskelmalla)</t>
  </si>
  <si>
    <t>Siirtopäivä</t>
  </si>
  <si>
    <t>Henkilötiedot</t>
  </si>
  <si>
    <t>Kuukausikorko</t>
  </si>
  <si>
    <t>Kumulatiivinen kuukausikorko 1.7. asti</t>
  </si>
  <si>
    <t>Siirtokuukauden korko (alle 1 kk)</t>
  </si>
  <si>
    <t>Siirtomäärä</t>
  </si>
  <si>
    <t xml:space="preserve">(maksupäätöksen </t>
  </si>
  <si>
    <t>mukainen)</t>
  </si>
  <si>
    <t>(korkoutettu per</t>
  </si>
  <si>
    <t>*************************************************************************************************************************</t>
  </si>
  <si>
    <t>LASKENTATULOKSET</t>
  </si>
  <si>
    <t>OHJE</t>
  </si>
  <si>
    <t>Nimi</t>
  </si>
  <si>
    <t>Päivitettävät tiedot</t>
  </si>
  <si>
    <t xml:space="preserve">Päivitettävät tiedot löytyvät virkamieskohtaisien sivuilta. </t>
  </si>
  <si>
    <t>Tarkastukset</t>
  </si>
  <si>
    <t>YKSITTÄISEN VIRKAMIEHEN SYÖTTÖTIEDOT JA LASKENTATULOKSET</t>
  </si>
  <si>
    <t>Siirtomäärien pääoma-arvot yhteensä siirtomäärän laskentapäivinä</t>
  </si>
  <si>
    <t>Todella maksetut siirtomäärät yhteensä</t>
  </si>
  <si>
    <t>Ohje</t>
  </si>
  <si>
    <t>Laskentapohjan ohjeet</t>
  </si>
  <si>
    <t>Laskentapohjan sivujen sisältö</t>
  </si>
  <si>
    <t xml:space="preserve">Huom: </t>
  </si>
  <si>
    <r>
      <t xml:space="preserve">1) Siirtomäärä maksuosuuden eräpäivänä on korkoutettu siirtomäärän laskentapäivästä </t>
    </r>
    <r>
      <rPr>
        <b/>
        <sz val="12"/>
        <rFont val="Arial"/>
        <family val="2"/>
      </rPr>
      <t>siirtopäivään</t>
    </r>
    <r>
      <rPr>
        <sz val="12"/>
        <rFont val="Arial"/>
        <family val="2"/>
      </rPr>
      <t xml:space="preserve"> </t>
    </r>
  </si>
  <si>
    <r>
      <t xml:space="preserve">MEL-ylite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</si>
  <si>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</si>
  <si>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MYEL-perusturvan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</si>
  <si>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VANHUUSELÄKKEET</t>
  </si>
  <si>
    <t>€/v</t>
  </si>
  <si>
    <t>L79</t>
  </si>
  <si>
    <t>*</t>
  </si>
  <si>
    <t>L80</t>
  </si>
  <si>
    <t>L81</t>
  </si>
  <si>
    <t>L82</t>
  </si>
  <si>
    <t>TYÖKYVYTTÖMYYS- JA PERHE-ELÄKKEET</t>
  </si>
  <si>
    <t>L83</t>
  </si>
  <si>
    <t>L84</t>
  </si>
  <si>
    <t>L85</t>
  </si>
  <si>
    <t>L86</t>
  </si>
  <si>
    <t>2.  Rekisteröity TEL-lisäeläketurva ja työnantajavakuutus</t>
  </si>
  <si>
    <t>3. Rekisteröity YEL- lisäeläketurva</t>
  </si>
  <si>
    <t>Työkyvyttömyys- ja perhe-</t>
  </si>
  <si>
    <t>eläkkeen yhteisesti</t>
  </si>
  <si>
    <t>kustannettava osa:</t>
  </si>
  <si>
    <t>eläkkeen YEL eläkeoikeus</t>
  </si>
  <si>
    <t>yhteensä:</t>
  </si>
  <si>
    <t xml:space="preserve">- Tällä laskentapohjalla voi laskea eläkemenotiedostoon ja eläkkeiden perintätiedostojen tietoihin tarvittavat </t>
  </si>
  <si>
    <t>Eläkemenotiedoston täyttöön tarvittavat lähtötiedot</t>
  </si>
  <si>
    <t>Syötettävä vain, jos haluaa eläkkeiden perintätiedostoon virkamiehen nimen</t>
  </si>
  <si>
    <t>4. Palkattomilta ajoilta karttuneet eläkeosat</t>
  </si>
  <si>
    <t>L140</t>
  </si>
  <si>
    <t>Palkattomien aikojen karttuma</t>
  </si>
  <si>
    <t>Palkattomilta ajoilta karttunut pääoma-arvo</t>
  </si>
  <si>
    <t>TyEL</t>
  </si>
  <si>
    <t>YEL</t>
  </si>
  <si>
    <t xml:space="preserve">Siirtokuukauden </t>
  </si>
  <si>
    <t>korko (alle 1 kk)</t>
  </si>
  <si>
    <t>TyEL-MEL-MYEL perustekorko tammikuu v</t>
  </si>
  <si>
    <t xml:space="preserve">TyEL-MEL-MYEL perustekorko helmikuu v </t>
  </si>
  <si>
    <t xml:space="preserve">TyEL-MEL-MYEL perustekorko maaliskuu v </t>
  </si>
  <si>
    <t xml:space="preserve">TyEL-MEL-MYEL perustekorko huhtikuu v </t>
  </si>
  <si>
    <t xml:space="preserve">TyEL-MEL-MYEL perustekorko toukokuu v </t>
  </si>
  <si>
    <t xml:space="preserve">TyEL-MEL-MYEL perustekorko kesäkuu v </t>
  </si>
  <si>
    <t xml:space="preserve">TyEL-MEL-MYEL perustekorko heinäkuu v </t>
  </si>
  <si>
    <t xml:space="preserve">TyEL-MEL-MYEL perustekorko elokuu v </t>
  </si>
  <si>
    <t xml:space="preserve">TyEL-MEL-MYEL perustekorko syyskuu v </t>
  </si>
  <si>
    <t xml:space="preserve">TyEL-MEL-MYEL perustekorko lokakuu v </t>
  </si>
  <si>
    <t xml:space="preserve">TyEL-MEL-MYEL perustekorko marraskuu v </t>
  </si>
  <si>
    <t xml:space="preserve">TyEL-MEL-MYEL perustekorko joulukuu v </t>
  </si>
  <si>
    <t>YEL perustekorko v</t>
  </si>
  <si>
    <t>TyEL-MEL-perusturvan pääoma-arvo ilman MEL-ylitettä</t>
  </si>
  <si>
    <t>L114</t>
  </si>
  <si>
    <t>MEL</t>
  </si>
  <si>
    <t>vastuunjako-osa:</t>
  </si>
  <si>
    <t>MEL vastuunjako-osa</t>
  </si>
  <si>
    <t>MEL vastuunjako-osa e/kk</t>
  </si>
  <si>
    <t>Muutokset edelliseen laskentapohjaan:</t>
  </si>
  <si>
    <t>Emenotiedosto</t>
  </si>
  <si>
    <t xml:space="preserve">- Laskentapohja on tehty TyEL-eläkelaitoksen näkökulmasta (koskien Melan maksamia MYEL-siirtomääriä ja </t>
  </si>
  <si>
    <t xml:space="preserve">  MEK:n maksamia MEL-ylitteiden siirtomääriä)</t>
  </si>
  <si>
    <t>L153</t>
  </si>
  <si>
    <t>L155</t>
  </si>
  <si>
    <t>***</t>
  </si>
  <si>
    <t>* = Vain yksityinen sektori ilmoittaa</t>
  </si>
  <si>
    <t xml:space="preserve">*** = Myös SP, OPEK ja AHV täyttää </t>
  </si>
  <si>
    <r>
      <t xml:space="preserve">Omalla vastuulla oleva vanhuuseläkkeen rahastoidun osan pääoma-arvo </t>
    </r>
    <r>
      <rPr>
        <sz val="10"/>
        <rFont val="Euro Sans"/>
        <family val="5"/>
      </rPr>
      <t>e</t>
    </r>
  </si>
  <si>
    <r>
      <t xml:space="preserve">Toisten vastuulla oleva vanhuuseläkkeen rahastoidun osan pääoma-arvo </t>
    </r>
    <r>
      <rPr>
        <sz val="10"/>
        <rFont val="Euro Sans"/>
        <family val="5"/>
      </rPr>
      <t>e</t>
    </r>
  </si>
  <si>
    <r>
      <t xml:space="preserve">Omalla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</si>
  <si>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Toisten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</si>
  <si>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Omalla vastuulla oleva perhe-eläkkeen rahastoidun osan pääoma-arvo </t>
    </r>
    <r>
      <rPr>
        <sz val="10"/>
        <rFont val="Euro Sans"/>
        <family val="5"/>
      </rPr>
      <t>e</t>
    </r>
  </si>
  <si>
    <r>
      <t xml:space="preserve">Toisten vastuulla oleva perhe-eläkkeen rahastoidun osan  pääoma-arvo </t>
    </r>
    <r>
      <rPr>
        <sz val="10"/>
        <rFont val="Euro Sans"/>
        <family val="5"/>
      </rPr>
      <t>e</t>
    </r>
  </si>
  <si>
    <t>Yhteisesti kustannettava osa</t>
  </si>
  <si>
    <t>Jos tämä negatiivinen,</t>
  </si>
  <si>
    <t>lisätään tasoitusvastuuseen</t>
  </si>
  <si>
    <t>TEL: Edunsaajina sekä leski että lapset (LL) / vain lapset (L)</t>
  </si>
  <si>
    <t>YEL: Edunsaajina sekä leski että lapset (LL) / vain lapset (L)</t>
  </si>
  <si>
    <t xml:space="preserve">osuuksien eräpäivien tasossa. </t>
  </si>
  <si>
    <t>KUSTANNUSTENJAON VUOSIKOHTAISET TIEDOT</t>
  </si>
  <si>
    <t>Kustannustenjakovuosi v</t>
  </si>
  <si>
    <t>KJ-vuosi</t>
  </si>
  <si>
    <t>Kustannustenjakovuosikohtaisia tietoja, päivitettävä vain kustannustenakovuoden muuttuessa tai</t>
  </si>
  <si>
    <t>Kustannustenjaossa</t>
  </si>
  <si>
    <r>
      <t xml:space="preserve">TyEL-MEL-perusturvan ansaittu vanhuuseläkeoikeus ilman MEL-ylitettä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</si>
  <si>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Yleistä</t>
  </si>
  <si>
    <t>Vuosi</t>
  </si>
  <si>
    <t>ikä</t>
  </si>
  <si>
    <t>perusturvan kerroin</t>
  </si>
  <si>
    <t>EU-siirtomäärät eläkelomakkeella per</t>
  </si>
  <si>
    <t>6. MEL:n mukaisten eläkkeiden vastuunjako-osat ja EU-siirtomäärät</t>
  </si>
  <si>
    <t xml:space="preserve">Eläkelaitoksen itsensä kustannettavien ja toisten eläkelaitosten kustannettavien osalta ilmoitetaan EU-siirtomäärien maksu- </t>
  </si>
  <si>
    <t>perusturva</t>
  </si>
  <si>
    <t>lisäturva</t>
  </si>
  <si>
    <t>LL</t>
  </si>
  <si>
    <t>va</t>
  </si>
  <si>
    <t>tk</t>
  </si>
  <si>
    <t>pe</t>
  </si>
  <si>
    <r>
      <t xml:space="preserve">84. YEL:n mukaiset EU-siirtomäärät </t>
    </r>
    <r>
      <rPr>
        <vertAlign val="superscript"/>
        <sz val="10"/>
        <rFont val="Times New Roman"/>
        <family val="1"/>
      </rPr>
      <t>3)</t>
    </r>
  </si>
  <si>
    <r>
      <t>85. MYEL:n mukaiset EU-siirtomäärät</t>
    </r>
    <r>
      <rPr>
        <vertAlign val="superscript"/>
        <sz val="10"/>
        <rFont val="Times New Roman"/>
        <family val="1"/>
      </rPr>
      <t xml:space="preserve"> 2)</t>
    </r>
  </si>
  <si>
    <r>
      <t xml:space="preserve">88. YEL:n mukaiset EU-siirtomäärät </t>
    </r>
    <r>
      <rPr>
        <vertAlign val="superscript"/>
        <sz val="10"/>
        <rFont val="Times New Roman"/>
        <family val="1"/>
      </rPr>
      <t>3)</t>
    </r>
  </si>
  <si>
    <r>
      <t>89. MYEL:n mukaiset EU-siirtomäärät</t>
    </r>
    <r>
      <rPr>
        <vertAlign val="superscript"/>
        <sz val="10"/>
        <rFont val="Times New Roman"/>
        <family val="1"/>
      </rPr>
      <t xml:space="preserve"> 2)</t>
    </r>
  </si>
  <si>
    <t>94. Kertasuoritukset EU-siirtomääristä (TEL-lisäturva):</t>
  </si>
  <si>
    <r>
      <t xml:space="preserve">vanhuus-, työkyvyttömyys- ja perhe-eläkkeet </t>
    </r>
    <r>
      <rPr>
        <b/>
        <i/>
        <vertAlign val="superscript"/>
        <sz val="10"/>
        <rFont val="Times New Roman"/>
        <family val="1"/>
      </rPr>
      <t xml:space="preserve"> </t>
    </r>
    <r>
      <rPr>
        <b/>
        <vertAlign val="superscript"/>
        <sz val="10"/>
        <rFont val="Times New Roman"/>
        <family val="1"/>
      </rPr>
      <t>4)</t>
    </r>
  </si>
  <si>
    <t>96. Kertasuoritukset EU-siirtomääristä (YEL-lisäturva): vanhuus-,</t>
  </si>
  <si>
    <r>
      <t xml:space="preserve"> työkyvyttömyys- ja perhe-eläkkeet</t>
    </r>
    <r>
      <rPr>
        <b/>
        <vertAlign val="superscript"/>
        <sz val="10"/>
        <rFont val="Times New Roman"/>
        <family val="1"/>
      </rPr>
      <t xml:space="preserve"> 3)</t>
    </r>
  </si>
  <si>
    <r>
      <t xml:space="preserve">102. EU-siirtomäärät </t>
    </r>
    <r>
      <rPr>
        <vertAlign val="superscript"/>
        <sz val="10"/>
        <rFont val="Times New Roman"/>
        <family val="1"/>
      </rPr>
      <t>2)</t>
    </r>
  </si>
  <si>
    <r>
      <t xml:space="preserve">116. EU-siirtomäärien vastuunjako-osat </t>
    </r>
    <r>
      <rPr>
        <vertAlign val="superscript"/>
        <sz val="10"/>
        <rFont val="Times New Roman"/>
        <family val="1"/>
      </rPr>
      <t>2)</t>
    </r>
  </si>
  <si>
    <r>
      <t>82. TyEL-MEL:n mukaiset EU-siirtomäärät (ilman MEL-ylitettä)</t>
    </r>
    <r>
      <rPr>
        <vertAlign val="superscript"/>
        <sz val="10"/>
        <rFont val="Times New Roman"/>
        <family val="1"/>
      </rPr>
      <t xml:space="preserve"> 2)</t>
    </r>
  </si>
  <si>
    <r>
      <t xml:space="preserve">83. MEL-ylitteiden EU-siirtomäärät </t>
    </r>
    <r>
      <rPr>
        <vertAlign val="superscript"/>
        <sz val="10"/>
        <rFont val="Times New Roman"/>
        <family val="1"/>
      </rPr>
      <t>2)</t>
    </r>
  </si>
  <si>
    <t>1 c) Kertasuoritukset EU-siirtomääristä (yksityisten alojen)</t>
  </si>
  <si>
    <r>
      <t>86. Yhteisesti kustann. TyEL-MEL:n mukaiset  EU-siirtom. (ilman MEL-ylitettä)</t>
    </r>
    <r>
      <rPr>
        <vertAlign val="superscript"/>
        <sz val="10"/>
        <rFont val="Times New Roman"/>
        <family val="1"/>
      </rPr>
      <t xml:space="preserve"> 2)</t>
    </r>
  </si>
  <si>
    <r>
      <t xml:space="preserve">87. MEL-ylitteiden EU-siirtomäärät </t>
    </r>
    <r>
      <rPr>
        <vertAlign val="superscript"/>
        <sz val="10"/>
        <rFont val="Times New Roman"/>
        <family val="1"/>
      </rPr>
      <t>2)</t>
    </r>
  </si>
  <si>
    <r>
      <t xml:space="preserve">TEL-lisäeläketurvan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</si>
  <si>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TEL-lisäeläketurvan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</si>
  <si>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YEL-lisäeläketurvan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</si>
  <si>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YEL-lisäeläketurvan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</si>
  <si>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TEL-lisäeläketurvan rahastoidun osan pääoma-arvo per</t>
  </si>
  <si>
    <t>Ennakkolaskelmalla esiintyvä lisäeläketurvan ansaittu eläkeoikeus</t>
  </si>
  <si>
    <t>TEL-lisäeläketurvan pääoma-arvo</t>
  </si>
  <si>
    <t>YEL-lisäeläketurvan pääoma-arvo</t>
  </si>
  <si>
    <t>Lopputulos: Eläkemenotiedosto täytettynä EU-siirtomääristä tarvittavilla tiedoilla. Ei päivitettävää.</t>
  </si>
  <si>
    <t xml:space="preserve">Laskennassa käytettävät pääoma-arvokertoimet. </t>
  </si>
  <si>
    <t>EU-virkamiehestä tarvittavat lähtötiedot ja laskentatulokset.</t>
  </si>
  <si>
    <t>Virkamies 1-10</t>
  </si>
  <si>
    <t xml:space="preserve">   3,1% yksinkertaisella korolla</t>
  </si>
  <si>
    <r>
      <t xml:space="preserve">2) Siirtomäärä kustannustenjaossa korkoutetaan </t>
    </r>
    <r>
      <rPr>
        <b/>
        <sz val="12"/>
        <rFont val="Arial"/>
        <family val="2"/>
      </rPr>
      <t xml:space="preserve">siirtomäärän eräpäivästä </t>
    </r>
    <r>
      <rPr>
        <sz val="12"/>
        <rFont val="Arial"/>
        <family val="2"/>
      </rPr>
      <t xml:space="preserve">per 1.7. </t>
    </r>
  </si>
  <si>
    <t>Siirtomäärän laskentavuonna täyttämä ikä täysinä vuosina</t>
  </si>
  <si>
    <t>vakuutusmaksukoron muuttuessa kesken vuoden.</t>
  </si>
  <si>
    <t>vakuutusmaksukorolla korkoa korolle tekniikalla.</t>
  </si>
  <si>
    <t>Kustannustenjakovuoden (vakuutusmaksukoron) muuttuessa päivitettävä myös KJ-vuosi -sivun tiedot</t>
  </si>
  <si>
    <t>Muutettava vain kustannustenjakovuoden muuttuessa</t>
  </si>
  <si>
    <t>-  Pohja poimii oikeat pääoma-arvot automaattisesti.</t>
  </si>
  <si>
    <t>Pääoma-arvokertoimet</t>
  </si>
  <si>
    <t xml:space="preserve">  tiedot EU-siirtomäärien kertasuorituksesta kun siirtomäärän laskentavuosi on 2020 tai 2021. </t>
  </si>
  <si>
    <t>- Lisätty vuoden 2021 pääoma-arvokertoimet</t>
  </si>
  <si>
    <t>- poa20220</t>
  </si>
  <si>
    <t>- poa2021</t>
  </si>
  <si>
    <r>
      <t>2) Sisältää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>, EU-siirtomäärien maksuosuuksien eräpäivistä hetkelle 1.7.2021.</t>
    </r>
  </si>
  <si>
    <r>
      <t>4) Yhteisesti kustannettavien osalta sisätää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 xml:space="preserve"> EU-siirtomäärien maksuosuuksien eräpäivistä hetkelle 1.7.2021.</t>
    </r>
  </si>
  <si>
    <t>3) Sisältää YEL:n mukaisen perustekoron EU-siirtomäärien maksuosuuksien eräpäivistä hetkelle 1.7.2021.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</si>
</sst>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"/>
    <numFmt numFmtId="165" formatCode="0.000000"/>
    <numFmt numFmtId="166" formatCode="d\.m\.yyyy"/>
    <numFmt numFmtId="167" formatCode="0.000"/>
    <numFmt numFmtId="168" formatCode="0.0\ %"/>
    <numFmt numFmtId="169" formatCode="0.0000000"/>
    <numFmt numFmtId="170" formatCode="0.00000000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sz val="10"/>
      <name val="Euro Sans"/>
      <family val="5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Arial"/>
      <family val="2"/>
    </font>
    <font>
      <vertAlign val="superscript"/>
      <sz val="10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bscript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14" fontId="0" fillId="0" borderId="0" xfId="0" applyNumberFormat="1"/>
    <xf numFmtId="3" fontId="5" fillId="0" borderId="0" xfId="0" applyNumberFormat="1" applyFont="1" applyAlignment="1">
      <alignment horizontal="right"/>
    </xf>
    <xf numFmtId="2" fontId="0" fillId="0" borderId="0" xfId="0" applyNumberFormat="1"/>
    <xf numFmtId="165" fontId="4" fillId="0" borderId="0" xfId="0" applyNumberFormat="1" applyFont="1"/>
    <xf numFmtId="4" fontId="2" fillId="0" borderId="0" xfId="0" quotePrefix="1" applyNumberFormat="1" applyFont="1" applyBorder="1"/>
    <xf numFmtId="4" fontId="5" fillId="0" borderId="0" xfId="0" quotePrefix="1" applyNumberFormat="1" applyFont="1" applyBorder="1"/>
    <xf numFmtId="4" fontId="5" fillId="0" borderId="1" xfId="0" quotePrefix="1" applyNumberFormat="1" applyFont="1" applyBorder="1"/>
    <xf numFmtId="0" fontId="5" fillId="0" borderId="0" xfId="0" applyNumberFormat="1" applyFont="1" applyAlignment="1">
      <alignment horizontal="left"/>
    </xf>
    <xf numFmtId="0" fontId="5" fillId="0" borderId="1" xfId="0" applyFont="1" applyBorder="1"/>
    <xf numFmtId="4" fontId="5" fillId="2" borderId="0" xfId="0" applyNumberFormat="1" applyFont="1" applyFill="1"/>
    <xf numFmtId="166" fontId="5" fillId="2" borderId="0" xfId="0" applyNumberFormat="1" applyFont="1" applyFill="1" applyAlignment="1">
      <alignment horizontal="right"/>
    </xf>
    <xf numFmtId="166" fontId="5" fillId="2" borderId="0" xfId="0" applyNumberFormat="1" applyFont="1" applyFill="1"/>
    <xf numFmtId="4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Border="1" applyAlignment="1">
      <alignment horizontal="right"/>
    </xf>
    <xf numFmtId="1" fontId="5" fillId="3" borderId="0" xfId="0" applyNumberFormat="1" applyFont="1" applyFill="1"/>
    <xf numFmtId="4" fontId="5" fillId="4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4" fontId="2" fillId="0" borderId="0" xfId="0" applyNumberFormat="1" applyFont="1"/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8" fillId="0" borderId="0" xfId="0" applyFont="1"/>
    <xf numFmtId="14" fontId="7" fillId="0" borderId="0" xfId="0" applyNumberFormat="1" applyFont="1"/>
    <xf numFmtId="0" fontId="9" fillId="0" borderId="0" xfId="0" applyFont="1"/>
    <xf numFmtId="10" fontId="5" fillId="3" borderId="0" xfId="1" applyNumberFormat="1" applyFont="1" applyFill="1"/>
    <xf numFmtId="2" fontId="10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0" fontId="7" fillId="0" borderId="0" xfId="0" applyFont="1" applyFill="1"/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horizontal="left" vertical="top" indent="15"/>
    </xf>
    <xf numFmtId="0" fontId="15" fillId="0" borderId="0" xfId="0" applyFont="1" applyBorder="1"/>
    <xf numFmtId="0" fontId="15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/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indent="15"/>
    </xf>
    <xf numFmtId="0" fontId="18" fillId="0" borderId="0" xfId="0" applyFont="1" applyBorder="1" applyAlignment="1">
      <alignment vertical="top"/>
    </xf>
    <xf numFmtId="0" fontId="16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4" fontId="15" fillId="0" borderId="0" xfId="0" applyNumberFormat="1" applyFont="1" applyBorder="1" applyAlignment="1">
      <alignment horizontal="left" vertical="top" indent="15"/>
    </xf>
    <xf numFmtId="4" fontId="15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/>
    </xf>
    <xf numFmtId="4" fontId="15" fillId="0" borderId="1" xfId="0" applyNumberFormat="1" applyFont="1" applyFill="1" applyBorder="1" applyAlignment="1">
      <alignment vertical="top"/>
    </xf>
    <xf numFmtId="4" fontId="15" fillId="0" borderId="2" xfId="0" applyNumberFormat="1" applyFont="1" applyFill="1" applyBorder="1" applyAlignment="1">
      <alignment vertical="top"/>
    </xf>
    <xf numFmtId="4" fontId="15" fillId="0" borderId="2" xfId="0" applyNumberFormat="1" applyFont="1" applyBorder="1" applyAlignment="1">
      <alignment vertical="top"/>
    </xf>
    <xf numFmtId="4" fontId="15" fillId="0" borderId="1" xfId="0" applyNumberFormat="1" applyFont="1" applyBorder="1" applyAlignment="1">
      <alignment vertical="top"/>
    </xf>
    <xf numFmtId="4" fontId="15" fillId="0" borderId="0" xfId="0" applyNumberFormat="1" applyFont="1"/>
    <xf numFmtId="4" fontId="15" fillId="0" borderId="1" xfId="0" applyNumberFormat="1" applyFont="1" applyBorder="1"/>
    <xf numFmtId="0" fontId="17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/>
    </xf>
    <xf numFmtId="4" fontId="0" fillId="0" borderId="0" xfId="0" applyNumberFormat="1"/>
    <xf numFmtId="4" fontId="5" fillId="0" borderId="0" xfId="0" applyNumberFormat="1" applyFont="1" applyFill="1" applyBorder="1"/>
    <xf numFmtId="4" fontId="5" fillId="0" borderId="0" xfId="0" quotePrefix="1" applyNumberFormat="1" applyFont="1" applyFill="1" applyBorder="1"/>
    <xf numFmtId="4" fontId="5" fillId="0" borderId="1" xfId="0" applyNumberFormat="1" applyFont="1" applyFill="1" applyBorder="1"/>
    <xf numFmtId="4" fontId="5" fillId="0" borderId="1" xfId="0" quotePrefix="1" applyNumberFormat="1" applyFont="1" applyFill="1" applyBorder="1"/>
    <xf numFmtId="4" fontId="2" fillId="0" borderId="0" xfId="0" applyNumberFormat="1" applyFont="1" applyFill="1" applyBorder="1"/>
    <xf numFmtId="2" fontId="10" fillId="0" borderId="0" xfId="0" applyNumberFormat="1" applyFont="1" applyFill="1"/>
    <xf numFmtId="0" fontId="2" fillId="0" borderId="0" xfId="0" applyFont="1" applyFill="1"/>
    <xf numFmtId="4" fontId="2" fillId="0" borderId="1" xfId="0" quotePrefix="1" applyNumberFormat="1" applyFont="1" applyBorder="1"/>
    <xf numFmtId="4" fontId="2" fillId="0" borderId="0" xfId="0" quotePrefix="1" applyNumberFormat="1" applyFont="1" applyFill="1" applyBorder="1"/>
    <xf numFmtId="0" fontId="5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15" fillId="0" borderId="0" xfId="0" applyFont="1" applyAlignment="1">
      <alignment horizontal="left"/>
    </xf>
    <xf numFmtId="4" fontId="2" fillId="0" borderId="0" xfId="0" applyNumberFormat="1" applyFont="1" applyFill="1"/>
    <xf numFmtId="0" fontId="20" fillId="0" borderId="0" xfId="0" applyFont="1"/>
    <xf numFmtId="4" fontId="15" fillId="0" borderId="0" xfId="0" applyNumberFormat="1" applyFont="1" applyBorder="1"/>
    <xf numFmtId="0" fontId="5" fillId="0" borderId="0" xfId="0" applyFont="1" applyAlignment="1">
      <alignment textRotation="255"/>
    </xf>
    <xf numFmtId="0" fontId="5" fillId="0" borderId="0" xfId="0" applyFont="1" applyAlignment="1">
      <alignment vertical="center" textRotation="255"/>
    </xf>
    <xf numFmtId="14" fontId="2" fillId="0" borderId="0" xfId="0" applyNumberFormat="1" applyFont="1"/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2" fontId="5" fillId="0" borderId="0" xfId="0" applyNumberFormat="1" applyFont="1"/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Alignment="1"/>
    <xf numFmtId="4" fontId="15" fillId="0" borderId="0" xfId="0" applyNumberFormat="1" applyFont="1" applyAlignment="1"/>
    <xf numFmtId="14" fontId="0" fillId="0" borderId="0" xfId="0" applyNumberFormat="1" applyFont="1"/>
    <xf numFmtId="2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right"/>
    </xf>
    <xf numFmtId="167" fontId="1" fillId="0" borderId="0" xfId="0" applyNumberFormat="1" applyFont="1"/>
    <xf numFmtId="168" fontId="0" fillId="0" borderId="0" xfId="1" applyNumberFormat="1" applyFont="1"/>
    <xf numFmtId="164" fontId="1" fillId="0" borderId="0" xfId="0" applyNumberFormat="1" applyFont="1"/>
    <xf numFmtId="4" fontId="1" fillId="0" borderId="0" xfId="0" applyNumberFormat="1" applyFont="1" applyBorder="1"/>
    <xf numFmtId="3" fontId="1" fillId="0" borderId="0" xfId="0" applyNumberFormat="1" applyFont="1" applyFill="1"/>
    <xf numFmtId="170" fontId="0" fillId="0" borderId="0" xfId="0" applyNumberFormat="1"/>
    <xf numFmtId="14" fontId="1" fillId="0" borderId="0" xfId="0" applyNumberFormat="1" applyFont="1"/>
    <xf numFmtId="165" fontId="1" fillId="0" borderId="0" xfId="0" applyNumberFormat="1" applyFont="1"/>
    <xf numFmtId="169" fontId="1" fillId="0" borderId="0" xfId="0" applyNumberFormat="1" applyFont="1"/>
    <xf numFmtId="1" fontId="1" fillId="0" borderId="0" xfId="0" applyNumberFormat="1" applyFont="1"/>
    <xf numFmtId="0" fontId="0" fillId="0" borderId="0" xfId="0" applyFill="1"/>
    <xf numFmtId="167" fontId="1" fillId="0" borderId="0" xfId="0" applyNumberFormat="1" applyFont="1" applyFill="1"/>
    <xf numFmtId="168" fontId="0" fillId="0" borderId="0" xfId="1" applyNumberFormat="1" applyFont="1" applyFill="1"/>
    <xf numFmtId="0" fontId="1" fillId="0" borderId="0" xfId="0" applyFont="1" applyFill="1"/>
    <xf numFmtId="164" fontId="0" fillId="0" borderId="0" xfId="0" applyNumberFormat="1" applyFill="1"/>
    <xf numFmtId="2" fontId="0" fillId="0" borderId="0" xfId="0" applyNumberFormat="1" applyFill="1"/>
    <xf numFmtId="164" fontId="1" fillId="0" borderId="0" xfId="0" applyNumberFormat="1" applyFont="1" applyFill="1"/>
    <xf numFmtId="0" fontId="5" fillId="0" borderId="0" xfId="0" applyFont="1" applyBorder="1"/>
    <xf numFmtId="166" fontId="1" fillId="2" borderId="0" xfId="0" applyNumberFormat="1" applyFont="1" applyFill="1" applyAlignment="1">
      <alignment horizontal="right"/>
    </xf>
    <xf numFmtId="14" fontId="1" fillId="0" borderId="0" xfId="0" applyNumberFormat="1" applyFont="1" applyFill="1"/>
    <xf numFmtId="0" fontId="0" fillId="0" borderId="0" xfId="0" applyNumberFormat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71"/>
  <sheetViews>
    <sheetView tabSelected="1" workbookViewId="0">
      <selection activeCell="A2" sqref="A2"/>
    </sheetView>
  </sheetViews>
  <sheetFormatPr defaultColWidth="9.1796875" defaultRowHeight="15.5"/>
  <cols>
    <col min="1" max="1" width="11.453125" style="39" bestFit="1" customWidth="1"/>
    <col min="2" max="2" width="12.7265625" style="39" bestFit="1" customWidth="1"/>
    <col min="3" max="9" width="9.1796875" style="39"/>
    <col min="10" max="10" width="16.453125" style="39" customWidth="1"/>
    <col min="11" max="16384" width="9.1796875" style="39"/>
  </cols>
  <sheetData>
    <row r="1" spans="1:1" ht="18">
      <c r="A1" s="1" t="s">
        <v>29</v>
      </c>
    </row>
    <row r="2" spans="1:1">
      <c r="A2" s="38"/>
    </row>
    <row r="3" spans="1:1" ht="18">
      <c r="A3" s="1" t="s">
        <v>121</v>
      </c>
    </row>
    <row r="4" spans="1:1">
      <c r="A4" s="38"/>
    </row>
    <row r="5" spans="1:1">
      <c r="A5" s="40" t="s">
        <v>64</v>
      </c>
    </row>
    <row r="6" spans="1:1">
      <c r="A6" s="40" t="s">
        <v>170</v>
      </c>
    </row>
    <row r="7" spans="1:1">
      <c r="A7" s="40" t="s">
        <v>96</v>
      </c>
    </row>
    <row r="8" spans="1:1">
      <c r="A8" s="40" t="s">
        <v>97</v>
      </c>
    </row>
    <row r="9" spans="1:1">
      <c r="A9" s="40" t="s">
        <v>168</v>
      </c>
    </row>
    <row r="10" spans="1:1">
      <c r="A10" s="40"/>
    </row>
    <row r="11" spans="1:1">
      <c r="A11" s="96" t="s">
        <v>94</v>
      </c>
    </row>
    <row r="12" spans="1:1">
      <c r="A12" s="40" t="s">
        <v>171</v>
      </c>
    </row>
    <row r="13" spans="1:1">
      <c r="A13" s="40"/>
    </row>
    <row r="14" spans="1:1" ht="18">
      <c r="A14" s="1" t="s">
        <v>39</v>
      </c>
    </row>
    <row r="15" spans="1:1">
      <c r="A15" s="40"/>
    </row>
    <row r="16" spans="1:1">
      <c r="A16" s="48" t="s">
        <v>37</v>
      </c>
    </row>
    <row r="17" spans="1:1">
      <c r="A17" s="39" t="s">
        <v>38</v>
      </c>
    </row>
    <row r="18" spans="1:1">
      <c r="A18" s="50"/>
    </row>
    <row r="19" spans="1:1">
      <c r="A19" s="48" t="s">
        <v>117</v>
      </c>
    </row>
    <row r="20" spans="1:1">
      <c r="A20" s="39" t="s">
        <v>118</v>
      </c>
    </row>
    <row r="21" spans="1:1">
      <c r="A21" s="39" t="s">
        <v>164</v>
      </c>
    </row>
    <row r="23" spans="1:1">
      <c r="A23" s="48" t="s">
        <v>95</v>
      </c>
    </row>
    <row r="24" spans="1:1">
      <c r="A24" s="39" t="s">
        <v>157</v>
      </c>
    </row>
    <row r="26" spans="1:1">
      <c r="A26" s="48" t="s">
        <v>169</v>
      </c>
    </row>
    <row r="27" spans="1:1">
      <c r="A27" s="39" t="s">
        <v>158</v>
      </c>
    </row>
    <row r="28" spans="1:1">
      <c r="A28" s="40" t="s">
        <v>172</v>
      </c>
    </row>
    <row r="29" spans="1:1">
      <c r="A29" s="40" t="s">
        <v>173</v>
      </c>
    </row>
    <row r="30" spans="1:1">
      <c r="A30" s="48"/>
    </row>
    <row r="31" spans="1:1">
      <c r="A31" s="48" t="s">
        <v>160</v>
      </c>
    </row>
    <row r="32" spans="1:1">
      <c r="A32" s="39" t="s">
        <v>159</v>
      </c>
    </row>
    <row r="34" spans="1:2">
      <c r="A34" s="39" t="s">
        <v>40</v>
      </c>
    </row>
    <row r="35" spans="1:2">
      <c r="A35" s="39" t="s">
        <v>41</v>
      </c>
    </row>
    <row r="36" spans="1:2">
      <c r="A36" s="39" t="s">
        <v>161</v>
      </c>
    </row>
    <row r="37" spans="1:2">
      <c r="A37" s="39" t="s">
        <v>162</v>
      </c>
    </row>
    <row r="38" spans="1:2">
      <c r="A38" s="39" t="s">
        <v>165</v>
      </c>
    </row>
    <row r="39" spans="1:2">
      <c r="A39" s="48"/>
    </row>
    <row r="40" spans="1:2" ht="18">
      <c r="A40" s="1" t="s">
        <v>31</v>
      </c>
    </row>
    <row r="41" spans="1:2">
      <c r="A41" s="38"/>
    </row>
    <row r="42" spans="1:2">
      <c r="A42" s="39" t="s">
        <v>32</v>
      </c>
    </row>
    <row r="43" spans="1:2">
      <c r="A43" s="39" t="s">
        <v>166</v>
      </c>
    </row>
    <row r="45" spans="1:2">
      <c r="A45" s="41"/>
      <c r="B45" s="39" t="s">
        <v>167</v>
      </c>
    </row>
    <row r="46" spans="1:2">
      <c r="A46" s="42"/>
      <c r="B46" s="39" t="s">
        <v>66</v>
      </c>
    </row>
    <row r="47" spans="1:2">
      <c r="A47" s="43"/>
      <c r="B47" s="39" t="s">
        <v>65</v>
      </c>
    </row>
    <row r="48" spans="1:2">
      <c r="A48" s="57"/>
      <c r="B48" s="57"/>
    </row>
    <row r="50" spans="1:10" ht="18">
      <c r="A50" s="1" t="s">
        <v>33</v>
      </c>
    </row>
    <row r="51" spans="1:10">
      <c r="A51" s="38"/>
    </row>
    <row r="52" spans="1:10">
      <c r="A52" s="39" t="s">
        <v>35</v>
      </c>
      <c r="J52" s="47">
        <f>SUM('Virkamies 1:Virkamies 10'!C86)</f>
        <v>0</v>
      </c>
    </row>
    <row r="53" spans="1:10">
      <c r="A53" s="39" t="s">
        <v>36</v>
      </c>
      <c r="J53" s="47">
        <f>SUM('Virkamies 1:Virkamies 10'!D86)</f>
        <v>0</v>
      </c>
    </row>
    <row r="54" spans="1:10">
      <c r="J54" s="47"/>
    </row>
    <row r="55" spans="1:10" ht="18">
      <c r="A55" s="1"/>
    </row>
    <row r="56" spans="1:10">
      <c r="A56" s="38"/>
    </row>
    <row r="57" spans="1:10">
      <c r="A57" s="48"/>
    </row>
    <row r="58" spans="1:10">
      <c r="A58" s="45"/>
    </row>
    <row r="59" spans="1:10">
      <c r="A59" s="46"/>
    </row>
    <row r="61" spans="1:10">
      <c r="A61" s="6"/>
    </row>
    <row r="62" spans="1:10">
      <c r="A62" s="48"/>
    </row>
    <row r="70" spans="1:2">
      <c r="A70" s="49"/>
      <c r="B70" s="49"/>
    </row>
    <row r="71" spans="1:2">
      <c r="A71" s="49"/>
      <c r="B71" s="49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1:AH90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0.81640625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Y1" s="113"/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</row>
    <row r="2" spans="1:34" ht="18">
      <c r="A2" s="56"/>
      <c r="B2" s="54"/>
      <c r="D2" s="55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13">
      <c r="A3" s="5" t="s">
        <v>19</v>
      </c>
      <c r="D3" s="13"/>
      <c r="Y3" s="1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  <c r="AH3" s="113"/>
    </row>
    <row r="4" spans="1:34" ht="13">
      <c r="A4" s="5"/>
      <c r="B4" s="6" t="s">
        <v>30</v>
      </c>
      <c r="F4" s="37"/>
      <c r="Y4" s="11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 t="shared" ref="AD4:AD7" si="0">AC5*AD5</f>
        <v>1.006622709560113</v>
      </c>
      <c r="AE4" s="113"/>
      <c r="AF4" s="113"/>
      <c r="AG4" s="113"/>
      <c r="AH4" s="113"/>
    </row>
    <row r="5" spans="1:34">
      <c r="B5" s="6" t="s">
        <v>5</v>
      </c>
      <c r="F5" s="102"/>
      <c r="Y5" s="113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 t="shared" si="0"/>
        <v>1.0049629315732038</v>
      </c>
      <c r="AE5" s="113"/>
      <c r="AF5" s="113"/>
      <c r="AG5" s="113"/>
      <c r="AH5" s="113"/>
    </row>
    <row r="6" spans="1:34">
      <c r="B6" s="6" t="s">
        <v>6</v>
      </c>
      <c r="F6" s="30"/>
      <c r="Y6" s="11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 t="shared" si="0"/>
        <v>1.0033058903246372</v>
      </c>
      <c r="AE6" s="113"/>
      <c r="AF6" s="113"/>
      <c r="AG6" s="113"/>
      <c r="AH6" s="113"/>
    </row>
    <row r="7" spans="1:34">
      <c r="B7" s="6" t="s">
        <v>0</v>
      </c>
      <c r="F7" s="31"/>
      <c r="Y7" s="113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 t="shared" si="0"/>
        <v>1.0016515813019202</v>
      </c>
      <c r="AE7" s="113"/>
      <c r="AF7" s="113"/>
      <c r="AG7" s="113"/>
      <c r="AH7" s="113"/>
    </row>
    <row r="8" spans="1:34">
      <c r="B8" s="6" t="s">
        <v>18</v>
      </c>
      <c r="F8" s="30"/>
      <c r="Y8" s="113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  <c r="AH8" s="113"/>
    </row>
    <row r="9" spans="1:34">
      <c r="F9" s="32"/>
      <c r="Y9" s="113"/>
      <c r="Z9" s="113"/>
      <c r="AA9" s="113">
        <v>7</v>
      </c>
      <c r="AB9" s="122">
        <f>1/((1+'KJ-vuosi'!B10)^((DAY('Virkamies 5'!$F$7))/360))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  <c r="AH9" s="113"/>
    </row>
    <row r="10" spans="1:34" ht="13">
      <c r="A10" s="5" t="s">
        <v>7</v>
      </c>
      <c r="F10" s="32"/>
      <c r="Y10" s="113"/>
      <c r="Z10" s="113"/>
      <c r="AA10" s="113">
        <v>8</v>
      </c>
      <c r="AB10" s="122">
        <f>1/((1+'KJ-vuosi'!B11)^((DAY('Virkamies 5'!$F$7))/360))</f>
        <v>1</v>
      </c>
      <c r="AC10" s="113">
        <f>+(1+'KJ-vuosi'!B11)^(-1/12)</f>
        <v>0.99835114192125218</v>
      </c>
      <c r="AD10" s="113">
        <f>+AC9</f>
        <v>0.99835114192125218</v>
      </c>
      <c r="AE10" s="113"/>
      <c r="AF10" s="113"/>
      <c r="AG10" s="113"/>
      <c r="AH10" s="113"/>
    </row>
    <row r="11" spans="1:34" ht="13">
      <c r="A11" s="5" t="s">
        <v>17</v>
      </c>
      <c r="F11" s="32"/>
      <c r="Y11" s="113"/>
      <c r="Z11" s="113"/>
      <c r="AA11" s="113">
        <v>9</v>
      </c>
      <c r="AB11" s="122">
        <f>1/((1+'KJ-vuosi'!B12)^((DAY('Virkamies 5'!$F$7))/360))</f>
        <v>1</v>
      </c>
      <c r="AC11" s="113">
        <f>+(1+'KJ-vuosi'!B12)^(-1/12)</f>
        <v>0.99835114192125218</v>
      </c>
      <c r="AD11" s="113">
        <f>+AD10*AC10</f>
        <v>0.99670500257546824</v>
      </c>
      <c r="AE11" s="113"/>
      <c r="AF11" s="113"/>
      <c r="AG11" s="113"/>
      <c r="AH11" s="113"/>
    </row>
    <row r="12" spans="1:34">
      <c r="B12" s="113" t="s">
        <v>120</v>
      </c>
      <c r="F12" s="29"/>
      <c r="G12" s="13"/>
      <c r="Y12" s="113"/>
      <c r="Z12" s="113"/>
      <c r="AA12" s="113">
        <v>10</v>
      </c>
      <c r="AB12" s="122">
        <f>1/((1+'KJ-vuosi'!B13)^((DAY('Virkamies 5'!$F$7))/360))</f>
        <v>1</v>
      </c>
      <c r="AC12" s="113">
        <f>+(1+'KJ-vuosi'!B13)^(-1/12)</f>
        <v>0.99835114192125218</v>
      </c>
      <c r="AD12" s="113">
        <f>+AD11*AC11</f>
        <v>0.99506157747984336</v>
      </c>
      <c r="AE12" s="113"/>
      <c r="AF12" s="113"/>
      <c r="AG12" s="113"/>
      <c r="AH12" s="113"/>
    </row>
    <row r="13" spans="1:34">
      <c r="B13" s="6" t="s">
        <v>42</v>
      </c>
      <c r="F13" s="29"/>
      <c r="Y13" s="113"/>
      <c r="Z13" s="113"/>
      <c r="AA13" s="113">
        <v>11</v>
      </c>
      <c r="AB13" s="122">
        <f>1/((1+'KJ-vuosi'!B14)^((DAY('Virkamies 5'!$F$7))/360))</f>
        <v>1</v>
      </c>
      <c r="AC13" s="113">
        <f>+(1+'KJ-vuosi'!B14)^(-1/12)</f>
        <v>0.99835114192125218</v>
      </c>
      <c r="AD13" s="113">
        <f>+AD12*AC12</f>
        <v>0.99342086215896419</v>
      </c>
      <c r="AE13" s="113"/>
      <c r="AF13" s="113"/>
      <c r="AG13" s="113"/>
      <c r="AH13" s="113"/>
    </row>
    <row r="14" spans="1:34">
      <c r="B14" s="6" t="s">
        <v>92</v>
      </c>
      <c r="F14" s="29"/>
      <c r="Y14" s="113"/>
      <c r="Z14" s="113"/>
      <c r="AA14" s="113">
        <v>12</v>
      </c>
      <c r="AB14" s="122">
        <f>1/((1+'KJ-vuosi'!B15)^((DAY('Virkamies 5'!$F$7))/360))</f>
        <v>1</v>
      </c>
      <c r="AC14" s="113">
        <f>+(1+'KJ-vuosi'!B15)^(-1/12)</f>
        <v>0.99835114192125218</v>
      </c>
      <c r="AD14" s="113">
        <f>+AD13*AC13</f>
        <v>0.99178285214479678</v>
      </c>
      <c r="AE14" s="113"/>
      <c r="AF14" s="113"/>
      <c r="AG14" s="113"/>
      <c r="AH14" s="113"/>
    </row>
    <row r="15" spans="1:34">
      <c r="B15" s="6" t="s">
        <v>43</v>
      </c>
      <c r="F15" s="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>
      <c r="B16" s="6" t="s">
        <v>44</v>
      </c>
      <c r="F16" s="29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</row>
    <row r="17" spans="1:34">
      <c r="B17" s="6" t="s">
        <v>69</v>
      </c>
      <c r="F17" s="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</row>
    <row r="18" spans="1:34">
      <c r="F18" s="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3">
      <c r="A19" s="5" t="s">
        <v>154</v>
      </c>
      <c r="F19" s="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</row>
    <row r="20" spans="1:34" ht="13">
      <c r="A20" s="5" t="s">
        <v>17</v>
      </c>
      <c r="F20" s="13"/>
      <c r="Y20" s="1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121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Y21" s="113"/>
      <c r="Z21" s="113"/>
      <c r="AA21" s="113"/>
      <c r="AB21" s="113" t="s">
        <v>74</v>
      </c>
      <c r="AC21" s="113"/>
      <c r="AD21" s="113"/>
      <c r="AE21" s="113"/>
      <c r="AF21" s="113"/>
      <c r="AG21" s="113"/>
      <c r="AH21" s="113"/>
    </row>
    <row r="22" spans="1:34">
      <c r="B22" s="113" t="s">
        <v>150</v>
      </c>
      <c r="F22" s="29"/>
      <c r="G22" s="13"/>
      <c r="Y22" s="1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  <c r="AH22" s="113"/>
    </row>
    <row r="23" spans="1:34">
      <c r="B23" s="6" t="s">
        <v>112</v>
      </c>
      <c r="F23" s="102"/>
      <c r="Y23" s="113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1">AC24*AD24</f>
        <v>1.006622709560113</v>
      </c>
      <c r="AE23" s="113"/>
      <c r="AF23" s="113"/>
      <c r="AG23" s="113"/>
      <c r="AH23" s="113"/>
    </row>
    <row r="24" spans="1:34">
      <c r="B24" s="113" t="s">
        <v>151</v>
      </c>
      <c r="F24" s="29"/>
      <c r="Y24" s="1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1"/>
        <v>1.0049629315732038</v>
      </c>
      <c r="AE24" s="113"/>
      <c r="AF24" s="113"/>
      <c r="AG24" s="113"/>
      <c r="AH24" s="113"/>
    </row>
    <row r="25" spans="1:34">
      <c r="B25" s="113" t="s">
        <v>152</v>
      </c>
      <c r="F25" s="29"/>
      <c r="Y25" s="113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1"/>
        <v>1.0033058903246372</v>
      </c>
      <c r="AE25" s="113"/>
      <c r="AF25" s="113"/>
      <c r="AG25" s="113"/>
      <c r="AH25" s="113"/>
    </row>
    <row r="26" spans="1:34">
      <c r="B26" s="6" t="s">
        <v>113</v>
      </c>
      <c r="F26" s="102"/>
      <c r="Y26" s="113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1"/>
        <v>1.0016515813019202</v>
      </c>
      <c r="AE26" s="113"/>
      <c r="AF26" s="113"/>
      <c r="AG26" s="113"/>
      <c r="AH26" s="113"/>
    </row>
    <row r="27" spans="1:34">
      <c r="Y27" s="113"/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  <c r="AH27" s="113"/>
    </row>
    <row r="28" spans="1:34" ht="13">
      <c r="A28" s="5" t="s">
        <v>153</v>
      </c>
      <c r="B28" s="5"/>
      <c r="F28" s="100">
        <f>F7</f>
        <v>0</v>
      </c>
      <c r="Y28" s="113"/>
      <c r="Z28" s="113"/>
      <c r="AA28" s="113">
        <v>7</v>
      </c>
      <c r="AB28" s="122">
        <f>1/((1+'KJ-vuosi'!$B$16)^((DAY('Virkamies 5'!$F$7))/360))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  <c r="AH28" s="113"/>
    </row>
    <row r="29" spans="1:34" ht="13">
      <c r="B29" s="6" t="s">
        <v>103</v>
      </c>
      <c r="F29" s="101"/>
      <c r="Y29" s="113"/>
      <c r="Z29" s="113"/>
      <c r="AA29" s="113">
        <v>8</v>
      </c>
      <c r="AB29" s="122">
        <f>1/((1+'KJ-vuosi'!$B$16)^((DAY('Virkamies 5'!$F$7))/360))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  <c r="AH29" s="113"/>
    </row>
    <row r="30" spans="1:34">
      <c r="B30" s="6" t="s">
        <v>104</v>
      </c>
      <c r="F30" s="29"/>
      <c r="Y30" s="113"/>
      <c r="Z30" s="113"/>
      <c r="AA30" s="113">
        <v>9</v>
      </c>
      <c r="AB30" s="122">
        <f>1/((1+'KJ-vuosi'!$B$16)^((DAY('Virkamies 5'!$F$7))/360))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  <c r="AH30" s="113"/>
    </row>
    <row r="31" spans="1:34" ht="13">
      <c r="B31" s="6" t="s">
        <v>105</v>
      </c>
      <c r="F31" s="101"/>
      <c r="Y31" s="113"/>
      <c r="Z31" s="113"/>
      <c r="AA31" s="113">
        <v>10</v>
      </c>
      <c r="AB31" s="122">
        <f>1/((1+'KJ-vuosi'!$B$16)^((DAY('Virkamies 5'!$F$7))/360))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  <c r="AH31" s="113"/>
    </row>
    <row r="32" spans="1:34">
      <c r="B32" s="6" t="s">
        <v>106</v>
      </c>
      <c r="F32" s="29"/>
      <c r="Y32" s="113"/>
      <c r="Z32" s="113"/>
      <c r="AA32" s="113">
        <v>11</v>
      </c>
      <c r="AB32" s="122">
        <f>1/((1+'KJ-vuosi'!$B$16)^((DAY('Virkamies 5'!$F$7))/360))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  <c r="AH32" s="113"/>
    </row>
    <row r="33" spans="1:34" ht="13">
      <c r="B33" s="6" t="s">
        <v>107</v>
      </c>
      <c r="F33" s="101"/>
      <c r="Y33" s="113"/>
      <c r="Z33" s="113"/>
      <c r="AA33" s="113">
        <v>12</v>
      </c>
      <c r="AB33" s="122">
        <f>1/((1+'KJ-vuosi'!$B$16)^((DAY('Virkamies 5'!$F$7))/360))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  <c r="AH33" s="113"/>
    </row>
    <row r="34" spans="1:34">
      <c r="B34" s="6" t="s">
        <v>108</v>
      </c>
      <c r="F34" s="29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1:34"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</row>
    <row r="36" spans="1:34">
      <c r="A36" s="6" t="s">
        <v>27</v>
      </c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</row>
    <row r="38" spans="1:34" ht="18">
      <c r="A38" s="1" t="s">
        <v>28</v>
      </c>
      <c r="I38" s="13"/>
    </row>
    <row r="39" spans="1:34">
      <c r="I39" s="13"/>
    </row>
    <row r="40" spans="1:34">
      <c r="A40" s="6" t="s">
        <v>163</v>
      </c>
      <c r="D40" s="119">
        <f>IF(F6="",18,YEAR(F6)-(1900+MID(F5,5,2)))</f>
        <v>18</v>
      </c>
      <c r="I40" s="13"/>
    </row>
    <row r="41" spans="1:34">
      <c r="A41" s="113" t="s">
        <v>125</v>
      </c>
      <c r="D41" s="33" t="str">
        <f>+"1.7."&amp;TEXT('KJ-vuosi'!$B$3,0)</f>
        <v>1.7.2021</v>
      </c>
      <c r="I41" s="13"/>
    </row>
    <row r="42" spans="1:34">
      <c r="C42" s="32"/>
      <c r="I42" s="13"/>
    </row>
    <row r="43" spans="1:34" ht="13">
      <c r="A43" s="5" t="s">
        <v>8</v>
      </c>
      <c r="I43" s="13"/>
    </row>
    <row r="44" spans="1:34">
      <c r="C44" s="7" t="s">
        <v>14</v>
      </c>
      <c r="D44" s="7" t="s">
        <v>23</v>
      </c>
      <c r="E44" s="114" t="s">
        <v>119</v>
      </c>
      <c r="I44" s="13"/>
    </row>
    <row r="45" spans="1:34">
      <c r="C45" s="7" t="s">
        <v>9</v>
      </c>
      <c r="D45" s="9" t="s">
        <v>24</v>
      </c>
      <c r="E45" s="7" t="s">
        <v>26</v>
      </c>
      <c r="I45" s="13"/>
    </row>
    <row r="46" spans="1:34">
      <c r="C46" s="8"/>
      <c r="D46" s="9" t="s">
        <v>25</v>
      </c>
      <c r="E46" s="7" t="str">
        <f>+D41&amp;")"</f>
        <v>1.7.2021)</v>
      </c>
      <c r="I46" s="13"/>
    </row>
    <row r="47" spans="1:34">
      <c r="C47" s="8"/>
      <c r="E47" s="9"/>
      <c r="I47" s="13"/>
    </row>
    <row r="48" spans="1:34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5'!F$6</f>
        <v>0</v>
      </c>
      <c r="D50" s="11">
        <f>'Virkamies 5'!F$8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5'!$F$7),aika5,4))*(VLOOKUP(MONTH('Virkamies 5'!$F$7),aika5,2)),2)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5'!$F$12*12*VLOOKUP($D$40,IF(DAYS360('poa2021'!$B$1,$F$6)&gt;0,'poa2021'!$F$5:$I$57,vastuunjako),3)</f>
        <v>0</v>
      </c>
      <c r="D52" s="17">
        <f>C52*(1+0.031*((IF(DAY('Virkamies 5'!$F$8)=31,DAYS360('Virkamies 5'!$F$6,'Virkamies 5'!$F$8,TRUE)-1,DAYS360('Virkamies 5'!$F$6,'Virkamies 5'!$F$8,TRUE)))/360))</f>
        <v>0</v>
      </c>
      <c r="E52" s="25">
        <f>ROUND(D52*(VLOOKUP(MONTH('Virkamies 5'!$F$7),aika5,4))*(VLOOKUP(MONTH('Virkamies 5'!$F$7),aika5,2)),2)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5'!$F$12*12*VLOOKUP($D$40,IF(DAYS360('poa2021'!$B$1,$F$6)&gt;0,'poa2021'!$F$5:$I$57,vastuunjako),4)</f>
        <v>0</v>
      </c>
      <c r="D53" s="15">
        <f>C53*(1+0.031*((IF(DAY('Virkamies 5'!$F$8)=31,DAYS360('Virkamies 5'!$F$6,'Virkamies 5'!$F$8,TRUE)-1,DAYS360('Virkamies 5'!$F$6,'Virkamies 5'!$F$8,TRUE)))/360))</f>
        <v>0</v>
      </c>
      <c r="E53" s="26">
        <f>ROUND(D53*(VLOOKUP(MONTH('Virkamies 5'!$F$7),aika5,4))*(VLOOKUP(MONTH('Virkamies 5'!$F$7),aika5,2)),2)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5'!$F$12*12*VLOOKUP($D$40,IF(DAYS360('poa2021'!$B$1,$F$6)&gt;0,'poa2021'!$B$5:$C$57,perusturva),2)</f>
        <v>0</v>
      </c>
      <c r="D54" s="32">
        <f>C54*(1+0.031*((IF(DAY('Virkamies 5'!$F$8)=31,DAYS360('Virkamies 5'!$F$6,'Virkamies 5'!$F$8,TRUE)-1,DAYS360('Virkamies 5'!$F$6,'Virkamies 5'!$F$8,TRUE)))/360))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5'!$F$14*12*VLOOKUP($D$40,IF(DAYS360('poa2021'!B1,F6)&gt;0,'poa2021'!B5:C57,perusturva),2))*(1+0.031*((IF(DAY('Virkamies 5'!$F$8)=31,DAYS360('Virkamies 5'!$F$6,'Virkamies 5'!$F$8,TRUE)-1,DAYS360('Virkamies 5'!$F$6,'Virkamies 5'!$F$8,TRUE)))/360))*(VLOOKUP(MONTH('Virkamies 5'!$F$7),aika1,4))*(VLOOKUP(MONTH('Virkamies 5'!$F$7),aika1,2))),2)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  <c r="G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5'!F$6</f>
        <v>0</v>
      </c>
      <c r="D58" s="11">
        <f>'Virkamies 5'!F$8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5'!$F$7),aika5,4))*(VLOOKUP(MONTH('Virkamies 5'!$F$7),aika5,2)),2)</f>
        <v>0</v>
      </c>
    </row>
    <row r="60" spans="1:9">
      <c r="A60" s="10" t="s">
        <v>2</v>
      </c>
      <c r="C60" s="17">
        <f>'Virkamies 5'!$F$13*12*VLOOKUP($D$40,IF(DAYS360('poa2021'!$B$1,$F$6)&gt;0,'poa2021'!$F$5:$I$57,vastuunjako),3)</f>
        <v>0</v>
      </c>
      <c r="D60" s="83">
        <f>C60*(1+0.031*((IF(DAY('Virkamies 5'!$F$8)=31,DAYS360('Virkamies 5'!$F$6,'Virkamies 5'!$F$8,TRUE)-1,DAYS360('Virkamies 5'!$F$6,'Virkamies 5'!$F$8,TRUE)))/360))</f>
        <v>0</v>
      </c>
      <c r="E60" s="84">
        <f>ROUND(D60*(VLOOKUP(MONTH('Virkamies 5'!$F$7),aika5,4))*(VLOOKUP(MONTH('Virkamies 5'!$F$7),aika5,2)),2)</f>
        <v>0</v>
      </c>
    </row>
    <row r="61" spans="1:9">
      <c r="A61" s="14" t="s">
        <v>3</v>
      </c>
      <c r="B61" s="28"/>
      <c r="C61" s="15">
        <f>'Virkamies 5'!$F$13*12*VLOOKUP($D$40,IF(DAYS360('poa2021'!$B$1,$F$6)&gt;0,'poa2021'!$F$5:$I$57,vastuunjako),4)</f>
        <v>0</v>
      </c>
      <c r="D61" s="85">
        <f>C61*(1+0.031*((IF(DAY('Virkamies 5'!$F$8)=31,DAYS360('Virkamies 5'!$F$6,'Virkamies 5'!$F$8,TRUE)-1,DAYS360('Virkamies 5'!$F$6,'Virkamies 5'!$F$8,TRUE)))/360))</f>
        <v>0</v>
      </c>
      <c r="E61" s="86">
        <f>ROUND(D61*(VLOOKUP(MONTH('Virkamies 5'!$F$7),aika5,4))*(VLOOKUP(MONTH('Virkamies 5'!$F$7),aika5,2)),2)</f>
        <v>0</v>
      </c>
    </row>
    <row r="62" spans="1:9">
      <c r="A62" s="6" t="s">
        <v>10</v>
      </c>
      <c r="C62" s="32">
        <f>'Virkamies 5'!$F$13*12*VLOOKUP($D$40,IF(DAYS360('poa2021'!$B$1,$F$6)&gt;0,'poa2021'!$B$5:$C$57,perusturva),2)</f>
        <v>0</v>
      </c>
      <c r="D62" s="13">
        <f>C62*(1+0.031*((IF(DAY('Virkamies 5'!$F$8)=31,DAYS360('Virkamies 5'!$F$6,'Virkamies 5'!$F$8,TRUE)-1,DAYS360('Virkamies 5'!$F$6,'Virkamies 5'!$F$8,TRUE)))/360))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2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2" ht="13">
      <c r="A66" s="5"/>
      <c r="C66" s="11">
        <f>'Virkamies 5'!F$6</f>
        <v>0</v>
      </c>
      <c r="D66" s="11">
        <f>'Virkamies 5'!F$8</f>
        <v>0</v>
      </c>
      <c r="E66" s="21" t="str">
        <f>$D$41</f>
        <v>1.7.2021</v>
      </c>
      <c r="G66" s="7" t="s">
        <v>62</v>
      </c>
    </row>
    <row r="67" spans="1:12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5'!$F$7),aikaYEL5,4))*(VLOOKUP(MONTH('Virkamies 5'!$F$7),aikaYEL5,2)),2)</f>
        <v>0</v>
      </c>
      <c r="G67" s="7" t="s">
        <v>63</v>
      </c>
    </row>
    <row r="68" spans="1:12">
      <c r="A68" s="10" t="s">
        <v>2</v>
      </c>
      <c r="C68" s="17">
        <f>'Virkamies 5'!$F$15*12*VLOOKUP($D$40,IF(DAYS360('poa2021'!$B$1,$F$6)&gt;0,'poa2021'!$F$5:$I$57,vastuunjako),3)</f>
        <v>0</v>
      </c>
      <c r="D68" s="17">
        <f>C68*(1+0.031*((IF(DAY('Virkamies 5'!$F$8)=31,DAYS360('Virkamies 5'!$F$6,'Virkamies 5'!$F$8,TRUE)-1,DAYS360('Virkamies 5'!$F$6,'Virkamies 5'!$F$8,TRUE)))/360))</f>
        <v>0</v>
      </c>
      <c r="E68" s="84">
        <f>ROUND(D68*(VLOOKUP(MONTH('Virkamies 5'!$F$7),aikaYEL5,4))*(VLOOKUP(MONTH('Virkamies 5'!$F$7),aikaYEL5,2)),2)</f>
        <v>0</v>
      </c>
      <c r="G68" s="13">
        <f>E68</f>
        <v>0</v>
      </c>
    </row>
    <row r="69" spans="1:12">
      <c r="A69" s="14" t="s">
        <v>3</v>
      </c>
      <c r="B69" s="28"/>
      <c r="C69" s="15">
        <f>'Virkamies 5'!$F$15*12*VLOOKUP($D$40,IF(DAYS360('poa2021'!$B$1,$F$6)&gt;0,'poa2021'!$F$5:$I$57,vastuunjako),4)</f>
        <v>0</v>
      </c>
      <c r="D69" s="15">
        <f>C69*(1+0.031*((IF(DAY('Virkamies 5'!$F$8)=31,DAYS360('Virkamies 5'!$F$6,'Virkamies 5'!$F$8,TRUE)-1,DAYS360('Virkamies 5'!$F$6,'Virkamies 5'!$F$8,TRUE)))/360))</f>
        <v>0</v>
      </c>
      <c r="E69" s="86">
        <f>ROUND(D69*(VLOOKUP(MONTH('Virkamies 5'!$F$7),aikaYEL5,4))*(VLOOKUP(MONTH('Virkamies 5'!$F$7),aikaYEL5,2)),2)</f>
        <v>0</v>
      </c>
      <c r="G69" s="15">
        <f>E69</f>
        <v>0</v>
      </c>
    </row>
    <row r="70" spans="1:12" ht="13">
      <c r="A70" s="6" t="s">
        <v>10</v>
      </c>
      <c r="C70" s="32">
        <f>'Virkamies 5'!$F$15*12*VLOOKUP($D$40,IF(DAYS360('poa2021'!$B$1,$F$6)&gt;0,'poa2021'!$B$5:$C$57,perusturva),2)</f>
        <v>0</v>
      </c>
      <c r="D70" s="83">
        <f>C70*(1+0.031*((IF(DAY('Virkamies 5'!$F$8)=31,DAYS360('Virkamies 5'!$F$6,'Virkamies 5'!$F$8,TRUE)-1,DAYS360('Virkamies 5'!$F$6,'Virkamies 5'!$F$8,TRUE)))/360))</f>
        <v>0</v>
      </c>
      <c r="E70" s="83">
        <f>SUM(E67:E69)</f>
        <v>0</v>
      </c>
      <c r="F70" s="52"/>
      <c r="G70" s="44">
        <f>SUM(G68:G69)</f>
        <v>0</v>
      </c>
    </row>
    <row r="71" spans="1:12">
      <c r="C71" s="10"/>
      <c r="G71" s="16"/>
    </row>
    <row r="72" spans="1:12" ht="13">
      <c r="A72" s="5" t="s">
        <v>4</v>
      </c>
      <c r="C72" s="13"/>
      <c r="G72" s="16"/>
    </row>
    <row r="73" spans="1:12" ht="13">
      <c r="A73" s="5"/>
      <c r="C73" s="7" t="s">
        <v>15</v>
      </c>
      <c r="D73" s="7" t="s">
        <v>15</v>
      </c>
      <c r="E73" s="7" t="s">
        <v>15</v>
      </c>
      <c r="G73" s="16"/>
    </row>
    <row r="74" spans="1:12" ht="13">
      <c r="A74" s="5"/>
      <c r="C74" s="11">
        <f>'Virkamies 5'!F$6</f>
        <v>0</v>
      </c>
      <c r="D74" s="11">
        <f>'Virkamies 5'!F$8</f>
        <v>0</v>
      </c>
      <c r="E74" s="21" t="str">
        <f>$D$41</f>
        <v>1.7.2021</v>
      </c>
      <c r="G74" s="16"/>
    </row>
    <row r="75" spans="1:12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5'!$F$7),aika5,4))*(VLOOKUP(MONTH('Virkamies 5'!$F$7),aika5,2)),2)</f>
        <v>0</v>
      </c>
      <c r="G75" s="16"/>
    </row>
    <row r="76" spans="1:12" ht="13">
      <c r="A76" s="10" t="s">
        <v>2</v>
      </c>
      <c r="C76" s="17">
        <f>'Virkamies 5'!$F$16*12*VLOOKUP($D$40,IF(DAYS360('poa2021'!$B$1,$F$6)&gt;0,'poa2021'!$F$5:$I$57,vastuunjako),3)</f>
        <v>0</v>
      </c>
      <c r="D76" s="17">
        <f>C76*(1+0.031*((IF(DAY('Virkamies 5'!$F$8)=31,DAYS360('Virkamies 5'!$F$6,'Virkamies 5'!$F$8,TRUE)-1,DAYS360('Virkamies 5'!$F$6,'Virkamies 5'!$F$8,TRUE)))/360))</f>
        <v>0</v>
      </c>
      <c r="E76" s="24">
        <f>ROUND(D76*(VLOOKUP(MONTH('Virkamies 5'!$F$7),aika5,4))*(VLOOKUP(MONTH('Virkamies 5'!$F$7),aika5,2)),2)</f>
        <v>0</v>
      </c>
      <c r="G76" s="16"/>
    </row>
    <row r="77" spans="1:12" ht="13">
      <c r="A77" s="14" t="s">
        <v>3</v>
      </c>
      <c r="B77" s="28"/>
      <c r="C77" s="15">
        <f>'Virkamies 5'!$F$16*12*VLOOKUP($D$40,IF(DAYS360('poa2021'!$B$1,$F$6)&gt;0,'poa2021'!$F$5:$I$57,vastuunjako),4)</f>
        <v>0</v>
      </c>
      <c r="D77" s="15">
        <f>C77*(1+0.031*((IF(DAY('Virkamies 5'!$F$8)=31,DAYS360('Virkamies 5'!$F$6,'Virkamies 5'!$F$8,TRUE)-1,DAYS360('Virkamies 5'!$F$6,'Virkamies 5'!$F$8,TRUE)))/360))</f>
        <v>0</v>
      </c>
      <c r="E77" s="90">
        <f>ROUND(D77*(VLOOKUP(MONTH('Virkamies 5'!$F$7),aika5,4))*(VLOOKUP(MONTH('Virkamies 5'!$F$7),aika5,2)),2)</f>
        <v>0</v>
      </c>
      <c r="G77" s="16"/>
    </row>
    <row r="78" spans="1:12">
      <c r="A78" s="6" t="s">
        <v>10</v>
      </c>
      <c r="C78" s="32">
        <f>'Virkamies 5'!$F$16*12*VLOOKUP($D$40,IF(DAYS360('poa2021'!$B$1,$F$6)&gt;0,'poa2021'!$B$5:$C$57,perusturva),2)</f>
        <v>0</v>
      </c>
      <c r="D78" s="17">
        <f>C78*(1+0.031*((IF(DAY('Virkamies 5'!$F$8)=31,DAYS360('Virkamies 5'!$F$6,'Virkamies 5'!$F$8,TRUE)-1,DAYS360('Virkamies 5'!$F$6,'Virkamies 5'!$F$8,TRUE)))/360))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2">
      <c r="C79" s="17"/>
      <c r="D79" s="17"/>
      <c r="E79" s="17"/>
      <c r="G79" s="16"/>
      <c r="H79" s="12"/>
      <c r="I79" s="6" t="s">
        <v>111</v>
      </c>
    </row>
    <row r="80" spans="1:12" ht="13">
      <c r="A80" s="89" t="s">
        <v>155</v>
      </c>
      <c r="B80" s="34"/>
      <c r="C80" s="83">
        <f>'Virkamies 5'!$F$21*12*VLOOKUP($D$40,IF(DAYS360('poa2021'!$B$1,$F$6)&gt;0,'poa2021'!$B$62:$E$114,lisäturva),2)+'Virkamies 5'!$F$22*12*VLOOKUP($D$40,IF(DAYS360('poa2021'!$B$1,$F$6)&gt;0,'poa2021'!$B$62:$E$114,lisäturva),IF('Virkamies 5'!$F$23="LL",3,4))</f>
        <v>0</v>
      </c>
      <c r="D80" s="83">
        <f>C80*(1+0.031*((IF(DAY('Virkamies 5'!$F$8)=31,DAYS360('Virkamies 5'!$F$6,'Virkamies 5'!$F$8,TRUE)-1,DAYS360('Virkamies 5'!$F$6,'Virkamies 5'!$F$8,TRUE)))/360))</f>
        <v>0</v>
      </c>
      <c r="E80" s="91">
        <f>ROUND(D80*(VLOOKUP(MONTH('Virkamies 5'!$F$7),aika5,4))*(VLOOKUP(MONTH('Virkamies 5'!$F$7),aika5,2)),2)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  <c r="L80" s="34"/>
    </row>
    <row r="81" spans="1:12">
      <c r="A81" s="92"/>
      <c r="B81" s="34"/>
      <c r="C81" s="83"/>
      <c r="D81" s="34"/>
      <c r="E81" s="34"/>
      <c r="G81" s="13"/>
      <c r="K81" s="34"/>
      <c r="L81" s="34"/>
    </row>
    <row r="82" spans="1:12" ht="13">
      <c r="A82" s="89" t="s">
        <v>156</v>
      </c>
      <c r="B82" s="34"/>
      <c r="C82" s="83">
        <f>'Virkamies 5'!$F$24*12*VLOOKUP($D$40,IF(DAYS360('poa2021'!$B$1,$F$6)&gt;0,'poa2021'!$B$62:$E$114,lisäturva),2)+'Virkamies 5'!$F$25*12*VLOOKUP($D$40,IF(DAYS360('poa2021'!$B$1,$F$6)&gt;0,'poa2021'!$B$62:$E$114,lisäturva),IF('Virkamies 5'!$F$26="LL",3,4))</f>
        <v>0</v>
      </c>
      <c r="D82" s="83">
        <f>C82*(1+0.031*((IF(DAY('Virkamies 5'!$F$8)=31,DAYS360('Virkamies 5'!$F$6,'Virkamies 5'!$F$8,TRUE)-1,DAYS360('Virkamies 5'!$F$6,'Virkamies 5'!$F$8,TRUE)))/360))</f>
        <v>0</v>
      </c>
      <c r="E82" s="91">
        <f>ROUND(D82*(VLOOKUP(MONTH('Virkamies 5'!$F$7),aikaYEL5,4))*(VLOOKUP(MONTH('Virkamies 5'!$F$7),aikaYEL5,2)),2)</f>
        <v>0</v>
      </c>
      <c r="G82" s="81"/>
      <c r="K82" s="34"/>
      <c r="L82" s="34"/>
    </row>
    <row r="83" spans="1:12" ht="13">
      <c r="A83" s="34"/>
      <c r="B83" s="34"/>
      <c r="C83" s="83"/>
      <c r="D83" s="83"/>
      <c r="E83" s="87"/>
      <c r="F83" s="88"/>
      <c r="G83" s="83"/>
      <c r="H83" s="34"/>
      <c r="I83" s="32"/>
    </row>
    <row r="84" spans="1:12" ht="13">
      <c r="A84" s="89" t="s">
        <v>70</v>
      </c>
      <c r="B84" s="34"/>
      <c r="C84" s="13">
        <f>'Virkamies 5'!$F$17*12*VLOOKUP($D$40,IF(DAYS360('poa2021'!$B$1,$F$6)&gt;0,'poa2021'!$B$5:$C$57,perusturva),2)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5'!$F$7),aika5,4))*(VLOOKUP(MONTH('Virkamies 5'!$F$7),aika5,2)),2)</f>
        <v>0</v>
      </c>
      <c r="F84" s="88"/>
      <c r="G84" s="83"/>
      <c r="H84" s="34"/>
      <c r="I84" s="32"/>
    </row>
    <row r="85" spans="1:12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  <c r="K85" s="6"/>
      <c r="L85" s="6"/>
    </row>
    <row r="86" spans="1:12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  <c r="K86" s="6"/>
      <c r="L86" s="6"/>
    </row>
    <row r="87" spans="1:12" s="34" customFormat="1">
      <c r="A87" s="6"/>
      <c r="B87" s="6"/>
      <c r="D87" s="6"/>
      <c r="E87" s="17"/>
      <c r="F87" s="6"/>
      <c r="G87" s="6"/>
      <c r="H87" s="6"/>
      <c r="I87" s="13"/>
      <c r="J87" s="6"/>
      <c r="K87" s="6"/>
      <c r="L87" s="6"/>
    </row>
    <row r="88" spans="1:12">
      <c r="B88" s="27"/>
      <c r="C88" s="34"/>
      <c r="E88" s="54"/>
      <c r="F88" s="53"/>
    </row>
    <row r="89" spans="1:12">
      <c r="B89" s="10"/>
      <c r="C89" s="34"/>
    </row>
    <row r="90" spans="1:12">
      <c r="C90" s="3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1"/>
  <dimension ref="A1:AJ89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0.54296875" style="6" customWidth="1"/>
    <col min="10" max="27" width="9.1796875" style="6"/>
    <col min="28" max="28" width="11.54296875" style="6" customWidth="1"/>
    <col min="29" max="16384" width="9.1796875" style="6"/>
  </cols>
  <sheetData>
    <row r="1" spans="1:36" ht="18">
      <c r="A1" s="1" t="s">
        <v>34</v>
      </c>
      <c r="Y1" s="113"/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  <c r="AI1" s="113"/>
      <c r="AJ1" s="113"/>
    </row>
    <row r="2" spans="1:36" ht="18">
      <c r="A2" s="56"/>
      <c r="B2" s="54"/>
      <c r="D2" s="55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</row>
    <row r="3" spans="1:36" ht="13">
      <c r="A3" s="5" t="s">
        <v>19</v>
      </c>
      <c r="D3" s="13"/>
      <c r="Y3" s="1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  <c r="AH3" s="113"/>
      <c r="AI3" s="113"/>
      <c r="AJ3" s="113"/>
    </row>
    <row r="4" spans="1:36" ht="13">
      <c r="A4" s="5"/>
      <c r="B4" s="6" t="s">
        <v>30</v>
      </c>
      <c r="F4" s="37"/>
      <c r="Y4" s="11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>AC5*AD5</f>
        <v>1.006622709560113</v>
      </c>
      <c r="AE4" s="113"/>
      <c r="AF4" s="113"/>
      <c r="AG4" s="113"/>
      <c r="AH4" s="113"/>
      <c r="AI4" s="113"/>
      <c r="AJ4" s="113"/>
    </row>
    <row r="5" spans="1:36">
      <c r="B5" s="6" t="s">
        <v>5</v>
      </c>
      <c r="F5" s="102"/>
      <c r="Y5" s="113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>AC6*AD6</f>
        <v>1.0049629315732038</v>
      </c>
      <c r="AE5" s="113"/>
      <c r="AF5" s="113"/>
      <c r="AG5" s="113"/>
      <c r="AH5" s="113"/>
      <c r="AI5" s="113"/>
      <c r="AJ5" s="113"/>
    </row>
    <row r="6" spans="1:36">
      <c r="B6" s="6" t="s">
        <v>6</v>
      </c>
      <c r="F6" s="30"/>
      <c r="Y6" s="11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>AC7*AD7</f>
        <v>1.0033058903246372</v>
      </c>
      <c r="AE6" s="113"/>
      <c r="AF6" s="113"/>
      <c r="AG6" s="113"/>
      <c r="AH6" s="113"/>
      <c r="AI6" s="113"/>
      <c r="AJ6" s="113"/>
    </row>
    <row r="7" spans="1:36">
      <c r="B7" s="6" t="s">
        <v>0</v>
      </c>
      <c r="F7" s="31"/>
      <c r="Y7" s="113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>AC8</f>
        <v>1.0016515813019202</v>
      </c>
      <c r="AE7" s="113"/>
      <c r="AF7" s="113"/>
      <c r="AG7" s="113"/>
      <c r="AH7" s="113"/>
      <c r="AI7" s="113"/>
      <c r="AJ7" s="113"/>
    </row>
    <row r="8" spans="1:36">
      <c r="B8" s="6" t="s">
        <v>18</v>
      </c>
      <c r="F8" s="30"/>
      <c r="Y8" s="113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  <c r="AH8" s="113"/>
      <c r="AI8" s="113"/>
      <c r="AJ8" s="113"/>
    </row>
    <row r="9" spans="1:36">
      <c r="F9" s="32"/>
      <c r="Y9" s="113"/>
      <c r="Z9" s="113"/>
      <c r="AA9" s="113">
        <v>7</v>
      </c>
      <c r="AB9" s="122">
        <f>1/((1+'KJ-vuosi'!B10)^((DAY('Virkamies 6'!$F$7))/360))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  <c r="AH9" s="113"/>
      <c r="AI9" s="113"/>
      <c r="AJ9" s="113"/>
    </row>
    <row r="10" spans="1:36" ht="13">
      <c r="A10" s="5" t="s">
        <v>7</v>
      </c>
      <c r="F10" s="32"/>
      <c r="Y10" s="113"/>
      <c r="Z10" s="113"/>
      <c r="AA10" s="113">
        <v>8</v>
      </c>
      <c r="AB10" s="122">
        <f>1/((1+'KJ-vuosi'!B11)^((DAY('Virkamies 6'!$F$7))/360))</f>
        <v>1</v>
      </c>
      <c r="AC10" s="113">
        <f>+(1+'KJ-vuosi'!B11)^(-1/12)</f>
        <v>0.99835114192125218</v>
      </c>
      <c r="AD10" s="113">
        <f>AC9</f>
        <v>0.99835114192125218</v>
      </c>
      <c r="AE10" s="113"/>
      <c r="AF10" s="113"/>
      <c r="AG10" s="113"/>
      <c r="AH10" s="113"/>
      <c r="AI10" s="113"/>
      <c r="AJ10" s="113"/>
    </row>
    <row r="11" spans="1:36" ht="13">
      <c r="A11" s="5" t="s">
        <v>17</v>
      </c>
      <c r="F11" s="32"/>
      <c r="Y11" s="113"/>
      <c r="Z11" s="113"/>
      <c r="AA11" s="113">
        <v>9</v>
      </c>
      <c r="AB11" s="122">
        <f>1/((1+'KJ-vuosi'!B12)^((DAY('Virkamies 6'!$F$7))/360))</f>
        <v>1</v>
      </c>
      <c r="AC11" s="113">
        <f>+(1+'KJ-vuosi'!B12)^(-1/12)</f>
        <v>0.99835114192125218</v>
      </c>
      <c r="AD11" s="113">
        <f>AD10*AC10</f>
        <v>0.99670500257546824</v>
      </c>
      <c r="AE11" s="113"/>
      <c r="AF11" s="113"/>
      <c r="AG11" s="113"/>
      <c r="AH11" s="113"/>
      <c r="AI11" s="113"/>
      <c r="AJ11" s="113"/>
    </row>
    <row r="12" spans="1:36">
      <c r="B12" s="113" t="s">
        <v>120</v>
      </c>
      <c r="F12" s="29"/>
      <c r="G12" s="13"/>
      <c r="Y12" s="113"/>
      <c r="Z12" s="113"/>
      <c r="AA12" s="113">
        <v>10</v>
      </c>
      <c r="AB12" s="122">
        <f>1/((1+'KJ-vuosi'!B13)^((DAY('Virkamies 6'!$F$7))/360))</f>
        <v>1</v>
      </c>
      <c r="AC12" s="113">
        <f>+(1+'KJ-vuosi'!B13)^(-1/12)</f>
        <v>0.99835114192125218</v>
      </c>
      <c r="AD12" s="113">
        <f>AD11*AC11</f>
        <v>0.99506157747984336</v>
      </c>
      <c r="AE12" s="113"/>
      <c r="AF12" s="113"/>
      <c r="AG12" s="113"/>
      <c r="AH12" s="113"/>
      <c r="AI12" s="113"/>
      <c r="AJ12" s="113"/>
    </row>
    <row r="13" spans="1:36">
      <c r="B13" s="6" t="s">
        <v>42</v>
      </c>
      <c r="F13" s="29"/>
      <c r="Y13" s="113"/>
      <c r="Z13" s="113"/>
      <c r="AA13" s="113">
        <v>11</v>
      </c>
      <c r="AB13" s="122">
        <f>1/((1+'KJ-vuosi'!B14)^((DAY('Virkamies 6'!$F$7))/360))</f>
        <v>1</v>
      </c>
      <c r="AC13" s="113">
        <f>+(1+'KJ-vuosi'!B14)^(-1/12)</f>
        <v>0.99835114192125218</v>
      </c>
      <c r="AD13" s="113">
        <f>AD12*AC12</f>
        <v>0.99342086215896419</v>
      </c>
      <c r="AE13" s="113"/>
      <c r="AF13" s="113"/>
      <c r="AG13" s="113"/>
      <c r="AH13" s="113"/>
      <c r="AI13" s="113"/>
      <c r="AJ13" s="113"/>
    </row>
    <row r="14" spans="1:36">
      <c r="B14" s="6" t="s">
        <v>92</v>
      </c>
      <c r="F14" s="29"/>
      <c r="Y14" s="113"/>
      <c r="Z14" s="113"/>
      <c r="AA14" s="113">
        <v>12</v>
      </c>
      <c r="AB14" s="122">
        <f>1/((1+'KJ-vuosi'!B15)^((DAY('Virkamies 6'!$F$7))/360))</f>
        <v>1</v>
      </c>
      <c r="AC14" s="113">
        <f>+(1+'KJ-vuosi'!B15)^(-1/12)</f>
        <v>0.99835114192125218</v>
      </c>
      <c r="AD14" s="113">
        <f>AD13*AC13</f>
        <v>0.99178285214479678</v>
      </c>
      <c r="AE14" s="113"/>
      <c r="AF14" s="113"/>
      <c r="AG14" s="113"/>
      <c r="AH14" s="113"/>
      <c r="AI14" s="113"/>
      <c r="AJ14" s="113"/>
    </row>
    <row r="15" spans="1:36">
      <c r="B15" s="6" t="s">
        <v>43</v>
      </c>
      <c r="F15" s="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</row>
    <row r="16" spans="1:36">
      <c r="B16" s="6" t="s">
        <v>44</v>
      </c>
      <c r="F16" s="29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</row>
    <row r="17" spans="1:36">
      <c r="B17" s="6" t="s">
        <v>69</v>
      </c>
      <c r="F17" s="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</row>
    <row r="18" spans="1:36">
      <c r="F18" s="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</row>
    <row r="19" spans="1:36" ht="13">
      <c r="A19" s="5" t="s">
        <v>154</v>
      </c>
      <c r="F19" s="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</row>
    <row r="20" spans="1:36" ht="13">
      <c r="A20" s="5" t="s">
        <v>17</v>
      </c>
      <c r="F20" s="13"/>
      <c r="Y20" s="1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121" t="str">
        <f>LEFT(F5,2)&amp;"."&amp;MID(F5,3,2)&amp;".19"&amp;MID(F5,5,2)</f>
        <v>..19</v>
      </c>
      <c r="AI20" s="113"/>
      <c r="AJ20" s="113"/>
    </row>
    <row r="21" spans="1:36">
      <c r="B21" s="113" t="s">
        <v>149</v>
      </c>
      <c r="F21" s="29"/>
      <c r="G21" s="13"/>
      <c r="Y21" s="113"/>
      <c r="Z21" s="113"/>
      <c r="AA21" s="113"/>
      <c r="AB21" s="113" t="s">
        <v>74</v>
      </c>
      <c r="AC21" s="113"/>
      <c r="AD21" s="113"/>
      <c r="AE21" s="113"/>
      <c r="AF21" s="113"/>
      <c r="AG21" s="113"/>
      <c r="AH21" s="113"/>
      <c r="AI21" s="113"/>
      <c r="AJ21" s="113"/>
    </row>
    <row r="22" spans="1:36">
      <c r="B22" s="113" t="s">
        <v>150</v>
      </c>
      <c r="F22" s="29"/>
      <c r="G22" s="13"/>
      <c r="Y22" s="1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  <c r="AH22" s="113"/>
      <c r="AI22" s="113"/>
      <c r="AJ22" s="113"/>
    </row>
    <row r="23" spans="1:36">
      <c r="B23" s="6" t="s">
        <v>112</v>
      </c>
      <c r="F23" s="102"/>
      <c r="Y23" s="113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0">AC24*AD24</f>
        <v>1.006622709560113</v>
      </c>
      <c r="AE23" s="113"/>
      <c r="AF23" s="113"/>
      <c r="AG23" s="113"/>
      <c r="AH23" s="113"/>
      <c r="AI23" s="113"/>
      <c r="AJ23" s="113"/>
    </row>
    <row r="24" spans="1:36">
      <c r="B24" s="113" t="s">
        <v>151</v>
      </c>
      <c r="F24" s="29"/>
      <c r="Y24" s="1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0"/>
        <v>1.0049629315732038</v>
      </c>
      <c r="AE24" s="113"/>
      <c r="AF24" s="113"/>
      <c r="AG24" s="113"/>
      <c r="AH24" s="113"/>
      <c r="AI24" s="113"/>
      <c r="AJ24" s="113"/>
    </row>
    <row r="25" spans="1:36">
      <c r="B25" s="113" t="s">
        <v>152</v>
      </c>
      <c r="F25" s="29"/>
      <c r="Y25" s="113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0"/>
        <v>1.0033058903246372</v>
      </c>
      <c r="AE25" s="113"/>
      <c r="AF25" s="113"/>
      <c r="AG25" s="113"/>
      <c r="AH25" s="113"/>
      <c r="AI25" s="113"/>
      <c r="AJ25" s="113"/>
    </row>
    <row r="26" spans="1:36">
      <c r="B26" s="6" t="s">
        <v>113</v>
      </c>
      <c r="F26" s="102"/>
      <c r="Y26" s="113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0"/>
        <v>1.0016515813019202</v>
      </c>
      <c r="AE26" s="113"/>
      <c r="AF26" s="113"/>
      <c r="AG26" s="113"/>
      <c r="AH26" s="113"/>
      <c r="AI26" s="113"/>
      <c r="AJ26" s="113"/>
    </row>
    <row r="27" spans="1:36">
      <c r="Y27" s="113"/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  <c r="AH27" s="113"/>
      <c r="AI27" s="113"/>
      <c r="AJ27" s="113"/>
    </row>
    <row r="28" spans="1:36" ht="13">
      <c r="A28" s="5" t="s">
        <v>153</v>
      </c>
      <c r="B28" s="5"/>
      <c r="F28" s="100">
        <f>F7</f>
        <v>0</v>
      </c>
      <c r="Y28" s="113"/>
      <c r="Z28" s="113"/>
      <c r="AA28" s="113">
        <v>7</v>
      </c>
      <c r="AB28" s="122">
        <f>1/((1+'KJ-vuosi'!$B$16)^((DAY('Virkamies 6'!$F$7))/360))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  <c r="AH28" s="113"/>
      <c r="AI28" s="113"/>
      <c r="AJ28" s="113"/>
    </row>
    <row r="29" spans="1:36" ht="13">
      <c r="B29" s="6" t="s">
        <v>103</v>
      </c>
      <c r="F29" s="101"/>
      <c r="Y29" s="113"/>
      <c r="Z29" s="113"/>
      <c r="AA29" s="113">
        <v>8</v>
      </c>
      <c r="AB29" s="122">
        <f>1/((1+'KJ-vuosi'!$B$16)^((DAY('Virkamies 6'!$F$7))/360))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  <c r="AH29" s="113"/>
      <c r="AI29" s="113"/>
      <c r="AJ29" s="113"/>
    </row>
    <row r="30" spans="1:36">
      <c r="B30" s="6" t="s">
        <v>104</v>
      </c>
      <c r="F30" s="29"/>
      <c r="Y30" s="113"/>
      <c r="Z30" s="113"/>
      <c r="AA30" s="113">
        <v>9</v>
      </c>
      <c r="AB30" s="122">
        <f>1/((1+'KJ-vuosi'!$B$16)^((DAY('Virkamies 6'!$F$7))/360))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  <c r="AH30" s="113"/>
      <c r="AI30" s="113"/>
      <c r="AJ30" s="113"/>
    </row>
    <row r="31" spans="1:36" ht="13">
      <c r="B31" s="6" t="s">
        <v>105</v>
      </c>
      <c r="F31" s="101"/>
      <c r="Y31" s="113"/>
      <c r="Z31" s="113"/>
      <c r="AA31" s="113">
        <v>10</v>
      </c>
      <c r="AB31" s="122">
        <f>1/((1+'KJ-vuosi'!$B$16)^((DAY('Virkamies 6'!$F$7))/360))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  <c r="AH31" s="113"/>
      <c r="AI31" s="113"/>
      <c r="AJ31" s="113"/>
    </row>
    <row r="32" spans="1:36">
      <c r="B32" s="6" t="s">
        <v>106</v>
      </c>
      <c r="F32" s="29"/>
      <c r="Y32" s="113"/>
      <c r="Z32" s="113"/>
      <c r="AA32" s="113">
        <v>11</v>
      </c>
      <c r="AB32" s="122">
        <f>1/((1+'KJ-vuosi'!$B$16)^((DAY('Virkamies 6'!$F$7))/360))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  <c r="AH32" s="113"/>
      <c r="AI32" s="113"/>
      <c r="AJ32" s="113"/>
    </row>
    <row r="33" spans="1:36" ht="13">
      <c r="B33" s="6" t="s">
        <v>107</v>
      </c>
      <c r="F33" s="101"/>
      <c r="Y33" s="113"/>
      <c r="Z33" s="113"/>
      <c r="AA33" s="113">
        <v>12</v>
      </c>
      <c r="AB33" s="122">
        <f>1/((1+'KJ-vuosi'!$B$16)^((DAY('Virkamies 6'!$F$7))/360))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  <c r="AH33" s="113"/>
      <c r="AI33" s="113"/>
      <c r="AJ33" s="113"/>
    </row>
    <row r="34" spans="1:36">
      <c r="B34" s="6" t="s">
        <v>108</v>
      </c>
      <c r="F34" s="29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</row>
    <row r="35" spans="1:36"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</row>
    <row r="36" spans="1:36">
      <c r="A36" s="6" t="s">
        <v>27</v>
      </c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</row>
    <row r="37" spans="1:36"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</row>
    <row r="38" spans="1:36" ht="18">
      <c r="A38" s="1" t="s">
        <v>28</v>
      </c>
      <c r="I38" s="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</row>
    <row r="39" spans="1:36">
      <c r="I39" s="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</row>
    <row r="40" spans="1:36">
      <c r="A40" s="6" t="s">
        <v>163</v>
      </c>
      <c r="D40" s="119">
        <f>IF(F6="",18,YEAR(F6)-(1900+MID(F5,5,2)))</f>
        <v>18</v>
      </c>
      <c r="I40" s="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</row>
    <row r="41" spans="1:36">
      <c r="A41" s="113" t="s">
        <v>125</v>
      </c>
      <c r="D41" s="33" t="str">
        <f>+"1.7."&amp;TEXT('KJ-vuosi'!$B$3,0)</f>
        <v>1.7.2021</v>
      </c>
      <c r="I41" s="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</row>
    <row r="42" spans="1:36">
      <c r="C42" s="32"/>
      <c r="I42" s="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</row>
    <row r="43" spans="1:36" ht="13">
      <c r="A43" s="5" t="s">
        <v>8</v>
      </c>
      <c r="I43" s="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</row>
    <row r="44" spans="1:36">
      <c r="C44" s="7" t="s">
        <v>14</v>
      </c>
      <c r="D44" s="7" t="s">
        <v>23</v>
      </c>
      <c r="E44" s="114" t="s">
        <v>119</v>
      </c>
      <c r="I44" s="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</row>
    <row r="45" spans="1:36">
      <c r="C45" s="7" t="s">
        <v>9</v>
      </c>
      <c r="D45" s="9" t="s">
        <v>24</v>
      </c>
      <c r="E45" s="7" t="s">
        <v>26</v>
      </c>
      <c r="I45" s="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</row>
    <row r="46" spans="1:36">
      <c r="C46" s="8"/>
      <c r="D46" s="9" t="s">
        <v>25</v>
      </c>
      <c r="E46" s="7" t="str">
        <f>+D41&amp;")"</f>
        <v>1.7.2021)</v>
      </c>
      <c r="I46" s="13"/>
    </row>
    <row r="47" spans="1:36">
      <c r="C47" s="8"/>
      <c r="E47" s="9"/>
      <c r="I47" s="13"/>
    </row>
    <row r="48" spans="1:36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6'!F$6</f>
        <v>0</v>
      </c>
      <c r="D50" s="11">
        <f>'Virkamies 6'!F$8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6'!$F$7),aika6,4))*(VLOOKUP(MONTH('Virkamies 6'!$F$7),aika6,2)),2)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6'!$F$12*12*VLOOKUP($D$40,IF(DAYS360('poa2021'!$B$1,$F$6)&gt;0,'poa2021'!$F$5:$I$57,vastuunjako),3)</f>
        <v>0</v>
      </c>
      <c r="D52" s="17">
        <f>C52*(1+0.031*((IF(DAY('Virkamies 6'!$F$8)=31,DAYS360('Virkamies 6'!$F$6,'Virkamies 6'!$F$8,TRUE)-1,DAYS360('Virkamies 6'!$F$6,'Virkamies 6'!$F$8,TRUE)))/360))</f>
        <v>0</v>
      </c>
      <c r="E52" s="25">
        <f>ROUND(D52*(VLOOKUP(MONTH('Virkamies 6'!$F$7),aika6,4))*(VLOOKUP(MONTH('Virkamies 6'!$F$7),aika6,2)),2)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6'!$F$12*12*VLOOKUP($D$40,IF(DAYS360('poa2021'!$B$1,$F$6)&gt;0,'poa2021'!$F$5:$I$57,vastuunjako),4)</f>
        <v>0</v>
      </c>
      <c r="D53" s="15">
        <f>C53*(1+0.031*((IF(DAY('Virkamies 6'!$F$8)=31,DAYS360('Virkamies 6'!$F$6,'Virkamies 6'!$F$8,TRUE)-1,DAYS360('Virkamies 6'!$F$6,'Virkamies 6'!$F$8,TRUE)))/360))</f>
        <v>0</v>
      </c>
      <c r="E53" s="26">
        <f>ROUND(D53*(VLOOKUP(MONTH('Virkamies 6'!$F$7),aika6,4))*(VLOOKUP(MONTH('Virkamies 6'!$F$7),aika6,2)),2)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6'!$F$12*12*VLOOKUP($D$40,IF(DAYS360('poa2021'!$B$1,$F$6)&gt;0,'poa2021'!$B$5:$C$57,perusturva),2)</f>
        <v>0</v>
      </c>
      <c r="D54" s="32">
        <f>C54*(1+0.031*((IF(DAY('Virkamies 6'!$F$8)=31,DAYS360('Virkamies 6'!$F$6,'Virkamies 6'!$F$8,TRUE)-1,DAYS360('Virkamies 6'!$F$6,'Virkamies 6'!$F$8,TRUE)))/360))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6'!$F$14*12*VLOOKUP($D$40,IF(DAYS360('poa2021'!B1,F6)&gt;0,'poa2021'!B5:C57,perusturva),2))*(1+0.031*((IF(DAY('Virkamies 6'!$F$8)=31,DAYS360('Virkamies 6'!$F$6,'Virkamies 6'!$F$8,TRUE)-1,DAYS360('Virkamies 6'!$F$6,'Virkamies 6'!$F$8,TRUE)))/360))*(VLOOKUP(MONTH('Virkamies 6'!$F$7),aika1,4))*(VLOOKUP(MONTH('Virkamies 6'!$F$7),aika1,2))),2)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6'!F$6</f>
        <v>0</v>
      </c>
      <c r="D58" s="11">
        <f>'Virkamies 6'!F$8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6'!$F$7),aika6,4))*(VLOOKUP(MONTH('Virkamies 6'!$F$7),aika6,2)),2)</f>
        <v>0</v>
      </c>
    </row>
    <row r="60" spans="1:9">
      <c r="A60" s="10" t="s">
        <v>2</v>
      </c>
      <c r="C60" s="17">
        <f>'Virkamies 6'!$F$13*12*VLOOKUP($D$40,IF(DAYS360('poa2021'!$B$1,$F$6)&gt;0,'poa2021'!$F$5:$I$57,vastuunjako),3)</f>
        <v>0</v>
      </c>
      <c r="D60" s="83">
        <f>C60*(1+0.031*((IF(DAY('Virkamies 6'!$F$8)=31,DAYS360('Virkamies 6'!$F$6,'Virkamies 6'!$F$8,TRUE)-1,DAYS360('Virkamies 6'!$F$6,'Virkamies 6'!$F$8,TRUE)))/360))</f>
        <v>0</v>
      </c>
      <c r="E60" s="84">
        <f>ROUND(D60*(VLOOKUP(MONTH('Virkamies 6'!$F$7),aika6,4))*(VLOOKUP(MONTH('Virkamies 6'!$F$7),aika6,2)),2)</f>
        <v>0</v>
      </c>
    </row>
    <row r="61" spans="1:9">
      <c r="A61" s="14" t="s">
        <v>3</v>
      </c>
      <c r="B61" s="28"/>
      <c r="C61" s="15">
        <f>'Virkamies 6'!$F$13*12*VLOOKUP($D$40,IF(DAYS360('poa2021'!$B$1,$F$6)&gt;0,'poa2021'!$F$5:$I$57,vastuunjako),4)</f>
        <v>0</v>
      </c>
      <c r="D61" s="85">
        <f>C61*(1+0.031*((IF(DAY('Virkamies 6'!$F$8)=31,DAYS360('Virkamies 6'!$F$6,'Virkamies 6'!$F$8,TRUE)-1,DAYS360('Virkamies 6'!$F$6,'Virkamies 6'!$F$8,TRUE)))/360))</f>
        <v>0</v>
      </c>
      <c r="E61" s="86">
        <f>ROUND(D61*(VLOOKUP(MONTH('Virkamies 6'!$F$7),aika6,4))*(VLOOKUP(MONTH('Virkamies 6'!$F$7),aika6,2)),2)</f>
        <v>0</v>
      </c>
    </row>
    <row r="62" spans="1:9">
      <c r="A62" s="6" t="s">
        <v>10</v>
      </c>
      <c r="C62" s="32">
        <f>'Virkamies 6'!$F$13*12*VLOOKUP($D$40,IF(DAYS360('poa2021'!$B$1,$F$6)&gt;0,'poa2021'!$B$5:$C$57,perusturva),2)</f>
        <v>0</v>
      </c>
      <c r="D62" s="13">
        <f>C62*(1+0.031*((IF(DAY('Virkamies 6'!$F$8)=31,DAYS360('Virkamies 6'!$F$6,'Virkamies 6'!$F$8,TRUE)-1,DAYS360('Virkamies 6'!$F$6,'Virkamies 6'!$F$8,TRUE)))/360))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3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3" ht="13">
      <c r="A66" s="5"/>
      <c r="C66" s="11">
        <f>'Virkamies 6'!F$6</f>
        <v>0</v>
      </c>
      <c r="D66" s="11">
        <f>'Virkamies 6'!F$8</f>
        <v>0</v>
      </c>
      <c r="E66" s="21" t="str">
        <f>$D$41</f>
        <v>1.7.2021</v>
      </c>
      <c r="G66" s="7" t="s">
        <v>62</v>
      </c>
    </row>
    <row r="67" spans="1:13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6'!$F$7),aikaYEL6,4))*(VLOOKUP(MONTH('Virkamies 6'!$F$7),aikaYEL6,2)),2)</f>
        <v>0</v>
      </c>
      <c r="G67" s="7" t="s">
        <v>63</v>
      </c>
    </row>
    <row r="68" spans="1:13">
      <c r="A68" s="10" t="s">
        <v>2</v>
      </c>
      <c r="C68" s="17">
        <f>'Virkamies 6'!$F$15*12*VLOOKUP($D$40,IF(DAYS360('poa2021'!$B$1,$F$6)&gt;0,'poa2021'!$F$5:$I$57,vastuunjako),3)</f>
        <v>0</v>
      </c>
      <c r="D68" s="17">
        <f>C68*(1+0.031*((IF(DAY('Virkamies 6'!$F$8)=31,DAYS360('Virkamies 6'!$F$6,'Virkamies 6'!$F$8,TRUE)-1,DAYS360('Virkamies 6'!$F$6,'Virkamies 6'!$F$8,TRUE)))/360))</f>
        <v>0</v>
      </c>
      <c r="E68" s="84">
        <f>ROUND(D68*(VLOOKUP(MONTH('Virkamies 6'!$F$7),aikaYEL6,4))*(VLOOKUP(MONTH('Virkamies 6'!$F$7),aikaYEL6,2)),2)</f>
        <v>0</v>
      </c>
      <c r="G68" s="13">
        <f>E68</f>
        <v>0</v>
      </c>
    </row>
    <row r="69" spans="1:13">
      <c r="A69" s="14" t="s">
        <v>3</v>
      </c>
      <c r="B69" s="28"/>
      <c r="C69" s="15">
        <f>'Virkamies 6'!$F$15*12*VLOOKUP($D$40,IF(DAYS360('poa2021'!$B$1,$F$6)&gt;0,'poa2021'!$F$5:$I$57,vastuunjako),4)</f>
        <v>0</v>
      </c>
      <c r="D69" s="15">
        <f>C69*(1+0.031*((IF(DAY('Virkamies 6'!$F$8)=31,DAYS360('Virkamies 6'!$F$6,'Virkamies 6'!$F$8,TRUE)-1,DAYS360('Virkamies 6'!$F$6,'Virkamies 6'!$F$8,TRUE)))/360))</f>
        <v>0</v>
      </c>
      <c r="E69" s="86">
        <f>ROUND(D69*(VLOOKUP(MONTH('Virkamies 6'!$F$7),aikaYEL6,4))*(VLOOKUP(MONTH('Virkamies 6'!$F$7),aikaYEL6,2)),2)</f>
        <v>0</v>
      </c>
      <c r="G69" s="15">
        <f>E69</f>
        <v>0</v>
      </c>
    </row>
    <row r="70" spans="1:13" ht="13">
      <c r="A70" s="6" t="s">
        <v>10</v>
      </c>
      <c r="C70" s="32">
        <f>'Virkamies 6'!$F$15*12*VLOOKUP($D$40,IF(DAYS360('poa2021'!$B$1,$F$6)&gt;0,'poa2021'!$B$5:$C$57,perusturva),2)</f>
        <v>0</v>
      </c>
      <c r="D70" s="83">
        <f>C70*(1+0.031*((IF(DAY('Virkamies 6'!$F$8)=31,DAYS360('Virkamies 6'!$F$6,'Virkamies 6'!$F$8,TRUE)-1,DAYS360('Virkamies 6'!$F$6,'Virkamies 6'!$F$8,TRUE)))/360))</f>
        <v>0</v>
      </c>
      <c r="E70" s="83">
        <f>SUM(E67:E69)</f>
        <v>0</v>
      </c>
      <c r="F70" s="52"/>
      <c r="G70" s="44">
        <f>SUM(G68:G69)</f>
        <v>0</v>
      </c>
    </row>
    <row r="71" spans="1:13">
      <c r="C71" s="10"/>
      <c r="G71" s="16"/>
    </row>
    <row r="72" spans="1:13" ht="13">
      <c r="A72" s="5" t="s">
        <v>4</v>
      </c>
      <c r="C72" s="13"/>
      <c r="G72" s="16"/>
    </row>
    <row r="73" spans="1:13" ht="13">
      <c r="A73" s="5"/>
      <c r="C73" s="7" t="s">
        <v>15</v>
      </c>
      <c r="D73" s="7" t="s">
        <v>15</v>
      </c>
      <c r="E73" s="7" t="s">
        <v>15</v>
      </c>
      <c r="G73" s="16"/>
    </row>
    <row r="74" spans="1:13" ht="13">
      <c r="A74" s="5"/>
      <c r="C74" s="11">
        <f>'Virkamies 6'!F$6</f>
        <v>0</v>
      </c>
      <c r="D74" s="11">
        <f>'Virkamies 6'!F$8</f>
        <v>0</v>
      </c>
      <c r="E74" s="21" t="str">
        <f>$D$41</f>
        <v>1.7.2021</v>
      </c>
      <c r="G74" s="16"/>
    </row>
    <row r="75" spans="1:13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6'!$F$7),aika6,4))*(VLOOKUP(MONTH('Virkamies 6'!$F$7),aika6,2)),2)</f>
        <v>0</v>
      </c>
      <c r="G75" s="16"/>
    </row>
    <row r="76" spans="1:13" ht="13">
      <c r="A76" s="10" t="s">
        <v>2</v>
      </c>
      <c r="C76" s="17">
        <f>'Virkamies 6'!$F$16*12*VLOOKUP($D$40,IF(DAYS360('poa2021'!$B$1,$F$6)&gt;0,'poa2021'!$F$5:$I$57,vastuunjako),3)</f>
        <v>0</v>
      </c>
      <c r="D76" s="17">
        <f>C76*(1+0.031*((IF(DAY('Virkamies 6'!$F$8)=31,DAYS360('Virkamies 6'!$F$6,'Virkamies 6'!$F$8,TRUE)-1,DAYS360('Virkamies 6'!$F$6,'Virkamies 6'!$F$8,TRUE)))/360))</f>
        <v>0</v>
      </c>
      <c r="E76" s="24">
        <f>ROUND(D76*(VLOOKUP(MONTH('Virkamies 6'!$F$7),aika6,4))*(VLOOKUP(MONTH('Virkamies 6'!$F$7),aika6,2)),2)</f>
        <v>0</v>
      </c>
      <c r="G76" s="16"/>
    </row>
    <row r="77" spans="1:13" ht="13">
      <c r="A77" s="14" t="s">
        <v>3</v>
      </c>
      <c r="B77" s="28"/>
      <c r="C77" s="15">
        <f>'Virkamies 6'!$F$16*12*VLOOKUP($D$40,IF(DAYS360('poa2021'!$B$1,$F$6)&gt;0,'poa2021'!$F$5:$I$57,vastuunjako),4)</f>
        <v>0</v>
      </c>
      <c r="D77" s="15">
        <f>C77*(1+0.031*((IF(DAY('Virkamies 6'!$F$8)=31,DAYS360('Virkamies 6'!$F$6,'Virkamies 6'!$F$8,TRUE)-1,DAYS360('Virkamies 6'!$F$6,'Virkamies 6'!$F$8,TRUE)))/360))</f>
        <v>0</v>
      </c>
      <c r="E77" s="90">
        <f>ROUND(D77*(VLOOKUP(MONTH('Virkamies 6'!$F$7),aika6,4))*(VLOOKUP(MONTH('Virkamies 6'!$F$7),aika6,2)),2)</f>
        <v>0</v>
      </c>
      <c r="G77" s="16"/>
    </row>
    <row r="78" spans="1:13">
      <c r="A78" s="6" t="s">
        <v>10</v>
      </c>
      <c r="C78" s="32">
        <f>'Virkamies 6'!$F$16*12*VLOOKUP($D$40,IF(DAYS360('poa2021'!$B$1,$F$6)&gt;0,'poa2021'!$B$5:$C$57,perusturva),2)</f>
        <v>0</v>
      </c>
      <c r="D78" s="17">
        <f>C78*(1+0.031*((IF(DAY('Virkamies 6'!$F$8)=31,DAYS360('Virkamies 6'!$F$6,'Virkamies 6'!$F$8,TRUE)-1,DAYS360('Virkamies 6'!$F$6,'Virkamies 6'!$F$8,TRUE)))/360))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3">
      <c r="C79" s="17"/>
      <c r="D79" s="17"/>
      <c r="E79" s="17"/>
      <c r="G79" s="16"/>
      <c r="H79" s="12"/>
      <c r="I79" s="6" t="s">
        <v>111</v>
      </c>
    </row>
    <row r="80" spans="1:13" ht="13">
      <c r="A80" s="89" t="s">
        <v>155</v>
      </c>
      <c r="B80" s="34"/>
      <c r="C80" s="83">
        <f>'Virkamies 6'!$F$21*12*VLOOKUP($D$40,IF(DAYS360('poa2021'!$B$1,$F$6)&gt;0,'poa2021'!$B$62:$E$114,lisäturva),2)+'Virkamies 6'!$F$22*12*VLOOKUP($D$40,IF(DAYS360('poa2021'!$B$1,$F$6)&gt;0,'poa2021'!$B$62:$E$114,lisäturva),IF('Virkamies 6'!$F$23="LL",3,4))</f>
        <v>0</v>
      </c>
      <c r="D80" s="83">
        <f>C80*(1+0.031*((IF(DAY('Virkamies 6'!$F$8)=31,DAYS360('Virkamies 6'!$F$6,'Virkamies 6'!$F$8,TRUE)-1,DAYS360('Virkamies 6'!$F$6,'Virkamies 6'!$F$8,TRUE)))/360))</f>
        <v>0</v>
      </c>
      <c r="E80" s="91">
        <f>ROUND(D80*(VLOOKUP(MONTH('Virkamies 6'!$F$7),aika6,4))*(VLOOKUP(MONTH('Virkamies 6'!$F$7),aika6,2)),2)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  <c r="L80" s="34"/>
      <c r="M80" s="34"/>
    </row>
    <row r="81" spans="1:13" ht="13">
      <c r="A81" s="92"/>
      <c r="B81" s="34"/>
      <c r="C81" s="83"/>
      <c r="D81" s="34"/>
      <c r="E81" s="91"/>
      <c r="F81" s="16"/>
      <c r="G81" s="18"/>
      <c r="K81" s="34"/>
      <c r="L81" s="34"/>
      <c r="M81" s="34"/>
    </row>
    <row r="82" spans="1:13" ht="13">
      <c r="A82" s="89" t="s">
        <v>156</v>
      </c>
      <c r="B82" s="34"/>
      <c r="C82" s="83">
        <f>'Virkamies 6'!$F$24*12*VLOOKUP($D$40,IF(DAYS360('poa2021'!$B$1,$F$6)&gt;0,'poa2021'!$B$62:$E$114,lisäturva),2)+'Virkamies 6'!$F$25*12*VLOOKUP($D$40,IF(DAYS360('poa2021'!$B$1,$F$6)&gt;0,'poa2021'!$B$62:$E$114,lisäturva),IF('Virkamies 6'!$F$26="LL",3,4))</f>
        <v>0</v>
      </c>
      <c r="D82" s="83">
        <f>C82*(1+0.031*((IF(DAY('Virkamies 6'!$F$8)=31,DAYS360('Virkamies 6'!$F$6,'Virkamies 6'!$F$8,TRUE)-1,DAYS360('Virkamies 6'!$F$6,'Virkamies 6'!$F$8,TRUE)))/360))</f>
        <v>0</v>
      </c>
      <c r="E82" s="91">
        <f>ROUND(D82*(VLOOKUP(MONTH('Virkamies 6'!$F$7),aikaYEL6,4))*(VLOOKUP(MONTH('Virkamies 6'!$F$7),aikaYEL6,2)),2)</f>
        <v>0</v>
      </c>
      <c r="G82" s="81"/>
      <c r="K82" s="34"/>
      <c r="L82" s="34"/>
      <c r="M82" s="34"/>
    </row>
    <row r="83" spans="1:13" ht="13">
      <c r="A83" s="34"/>
      <c r="B83" s="34"/>
      <c r="C83" s="83"/>
      <c r="D83" s="83"/>
      <c r="E83" s="87"/>
      <c r="F83" s="88"/>
      <c r="G83" s="83"/>
      <c r="H83" s="34"/>
      <c r="I83" s="32"/>
      <c r="J83" s="34"/>
    </row>
    <row r="84" spans="1:13" ht="13">
      <c r="A84" s="89" t="s">
        <v>70</v>
      </c>
      <c r="B84" s="34"/>
      <c r="C84" s="13">
        <f>'Virkamies 6'!$F$17*12*VLOOKUP($D$40,IF(DAYS360('poa2021'!$B$1,$F$6)&gt;0,'poa2021'!$B$5:$C$57,perusturva),2)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6'!$F$7),aika6,4))*(VLOOKUP(MONTH('Virkamies 6'!$F$7),aika6,2)),2)</f>
        <v>0</v>
      </c>
      <c r="F84" s="88"/>
      <c r="G84" s="83"/>
      <c r="H84" s="34"/>
      <c r="I84" s="32"/>
      <c r="J84" s="34"/>
    </row>
    <row r="85" spans="1:13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  <c r="K85" s="6"/>
      <c r="L85" s="6"/>
      <c r="M85" s="6"/>
    </row>
    <row r="86" spans="1:13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  <c r="K86" s="6"/>
      <c r="L86" s="6"/>
      <c r="M86" s="6"/>
    </row>
    <row r="87" spans="1:13" s="34" customFormat="1">
      <c r="A87" s="6"/>
      <c r="B87" s="6"/>
      <c r="D87" s="6"/>
      <c r="E87" s="17"/>
      <c r="F87" s="6"/>
      <c r="G87" s="6"/>
      <c r="H87" s="6"/>
      <c r="I87" s="13"/>
      <c r="J87" s="6"/>
      <c r="K87" s="6"/>
      <c r="L87" s="6"/>
      <c r="M87" s="6"/>
    </row>
    <row r="89" spans="1:13">
      <c r="E89" s="13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/>
  <dimension ref="A1:AH93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0.7265625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Y1" s="113"/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</row>
    <row r="2" spans="1:34" ht="18">
      <c r="A2" s="56"/>
      <c r="B2" s="54"/>
      <c r="D2" s="55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13">
      <c r="A3" s="5" t="s">
        <v>19</v>
      </c>
      <c r="D3" s="13"/>
      <c r="Y3" s="1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  <c r="AH3" s="113"/>
    </row>
    <row r="4" spans="1:34" ht="13">
      <c r="A4" s="5"/>
      <c r="B4" s="6" t="s">
        <v>30</v>
      </c>
      <c r="F4" s="37"/>
      <c r="Y4" s="11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>AC5*AD5</f>
        <v>1.006622709560113</v>
      </c>
      <c r="AE4" s="113"/>
      <c r="AF4" s="113"/>
      <c r="AG4" s="113"/>
      <c r="AH4" s="113"/>
    </row>
    <row r="5" spans="1:34">
      <c r="B5" s="6" t="s">
        <v>5</v>
      </c>
      <c r="F5" s="102"/>
      <c r="Y5" s="113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>AC6*AD6</f>
        <v>1.0049629315732038</v>
      </c>
      <c r="AE5" s="113"/>
      <c r="AF5" s="113"/>
      <c r="AG5" s="113"/>
      <c r="AH5" s="113"/>
    </row>
    <row r="6" spans="1:34">
      <c r="B6" s="6" t="s">
        <v>6</v>
      </c>
      <c r="F6" s="30"/>
      <c r="Y6" s="11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>AC7*AD7</f>
        <v>1.0033058903246372</v>
      </c>
      <c r="AE6" s="113"/>
      <c r="AF6" s="113"/>
      <c r="AG6" s="113"/>
      <c r="AH6" s="113"/>
    </row>
    <row r="7" spans="1:34">
      <c r="B7" s="6" t="s">
        <v>0</v>
      </c>
      <c r="F7" s="31"/>
      <c r="Y7" s="113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>AC8</f>
        <v>1.0016515813019202</v>
      </c>
      <c r="AE7" s="113"/>
      <c r="AF7" s="113"/>
      <c r="AG7" s="113"/>
      <c r="AH7" s="113"/>
    </row>
    <row r="8" spans="1:34">
      <c r="B8" s="6" t="s">
        <v>18</v>
      </c>
      <c r="F8" s="30"/>
      <c r="Y8" s="113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  <c r="AH8" s="113"/>
    </row>
    <row r="9" spans="1:34">
      <c r="F9" s="32"/>
      <c r="Y9" s="113"/>
      <c r="Z9" s="113"/>
      <c r="AA9" s="113">
        <v>7</v>
      </c>
      <c r="AB9" s="122">
        <f>1/((1+'KJ-vuosi'!B10)^((DAY('Virkamies 7'!$F$7))/360))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  <c r="AH9" s="113"/>
    </row>
    <row r="10" spans="1:34" ht="13">
      <c r="A10" s="5" t="s">
        <v>7</v>
      </c>
      <c r="F10" s="32"/>
      <c r="Y10" s="113"/>
      <c r="Z10" s="113"/>
      <c r="AA10" s="113">
        <v>8</v>
      </c>
      <c r="AB10" s="122">
        <f>1/((1+'KJ-vuosi'!B11)^((DAY('Virkamies 7'!$F$7))/360))</f>
        <v>1</v>
      </c>
      <c r="AC10" s="113">
        <f>+(1+'KJ-vuosi'!B11)^(-1/12)</f>
        <v>0.99835114192125218</v>
      </c>
      <c r="AD10" s="113">
        <f>AC9</f>
        <v>0.99835114192125218</v>
      </c>
      <c r="AE10" s="113"/>
      <c r="AF10" s="113"/>
      <c r="AG10" s="113"/>
      <c r="AH10" s="113"/>
    </row>
    <row r="11" spans="1:34" ht="13">
      <c r="A11" s="5" t="s">
        <v>17</v>
      </c>
      <c r="F11" s="32"/>
      <c r="Y11" s="113"/>
      <c r="Z11" s="113"/>
      <c r="AA11" s="113">
        <v>9</v>
      </c>
      <c r="AB11" s="122">
        <f>1/((1+'KJ-vuosi'!B12)^((DAY('Virkamies 7'!$F$7))/360))</f>
        <v>1</v>
      </c>
      <c r="AC11" s="113">
        <f>+(1+'KJ-vuosi'!B12)^(-1/12)</f>
        <v>0.99835114192125218</v>
      </c>
      <c r="AD11" s="113">
        <f>AD10*AC10</f>
        <v>0.99670500257546824</v>
      </c>
      <c r="AE11" s="113"/>
      <c r="AF11" s="113"/>
      <c r="AG11" s="113"/>
      <c r="AH11" s="113"/>
    </row>
    <row r="12" spans="1:34">
      <c r="B12" s="113" t="s">
        <v>120</v>
      </c>
      <c r="F12" s="29"/>
      <c r="G12" s="13"/>
      <c r="Y12" s="113"/>
      <c r="Z12" s="113"/>
      <c r="AA12" s="113">
        <v>10</v>
      </c>
      <c r="AB12" s="122">
        <f>1/((1+'KJ-vuosi'!B13)^((DAY('Virkamies 7'!$F$7))/360))</f>
        <v>1</v>
      </c>
      <c r="AC12" s="113">
        <f>+(1+'KJ-vuosi'!B13)^(-1/12)</f>
        <v>0.99835114192125218</v>
      </c>
      <c r="AD12" s="113">
        <f>AD11*AC11</f>
        <v>0.99506157747984336</v>
      </c>
      <c r="AE12" s="113"/>
      <c r="AF12" s="113"/>
      <c r="AG12" s="113"/>
      <c r="AH12" s="113"/>
    </row>
    <row r="13" spans="1:34">
      <c r="B13" s="6" t="s">
        <v>42</v>
      </c>
      <c r="F13" s="29"/>
      <c r="Y13" s="113"/>
      <c r="Z13" s="113"/>
      <c r="AA13" s="113">
        <v>11</v>
      </c>
      <c r="AB13" s="122">
        <f>1/((1+'KJ-vuosi'!B14)^((DAY('Virkamies 7'!$F$7))/360))</f>
        <v>1</v>
      </c>
      <c r="AC13" s="113">
        <f>+(1+'KJ-vuosi'!B14)^(-1/12)</f>
        <v>0.99835114192125218</v>
      </c>
      <c r="AD13" s="113">
        <f>AD12*AC12</f>
        <v>0.99342086215896419</v>
      </c>
      <c r="AE13" s="113"/>
      <c r="AF13" s="113"/>
      <c r="AG13" s="113"/>
      <c r="AH13" s="113"/>
    </row>
    <row r="14" spans="1:34">
      <c r="B14" s="6" t="s">
        <v>92</v>
      </c>
      <c r="F14" s="29"/>
      <c r="Y14" s="113"/>
      <c r="Z14" s="113"/>
      <c r="AA14" s="113">
        <v>12</v>
      </c>
      <c r="AB14" s="122">
        <f>1/((1+'KJ-vuosi'!B15)^((DAY('Virkamies 7'!$F$7))/360))</f>
        <v>1</v>
      </c>
      <c r="AC14" s="113">
        <f>+(1+'KJ-vuosi'!B15)^(-1/12)</f>
        <v>0.99835114192125218</v>
      </c>
      <c r="AD14" s="113">
        <f>AD13*AC13</f>
        <v>0.99178285214479678</v>
      </c>
      <c r="AE14" s="113"/>
      <c r="AF14" s="113"/>
      <c r="AG14" s="113"/>
      <c r="AH14" s="113"/>
    </row>
    <row r="15" spans="1:34">
      <c r="B15" s="6" t="s">
        <v>43</v>
      </c>
      <c r="F15" s="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>
      <c r="B16" s="6" t="s">
        <v>44</v>
      </c>
      <c r="F16" s="29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</row>
    <row r="17" spans="1:34">
      <c r="B17" s="6" t="s">
        <v>69</v>
      </c>
      <c r="F17" s="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</row>
    <row r="18" spans="1:34">
      <c r="F18" s="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3">
      <c r="A19" s="5" t="s">
        <v>154</v>
      </c>
      <c r="F19" s="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</row>
    <row r="20" spans="1:34" ht="13">
      <c r="A20" s="5" t="s">
        <v>17</v>
      </c>
      <c r="F20" s="13"/>
      <c r="Y20" s="1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121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Y21" s="113"/>
      <c r="Z21" s="113"/>
      <c r="AA21" s="113"/>
      <c r="AB21" s="113" t="s">
        <v>74</v>
      </c>
      <c r="AC21" s="113"/>
      <c r="AD21" s="113"/>
      <c r="AE21" s="113"/>
      <c r="AF21" s="113"/>
      <c r="AG21" s="113"/>
      <c r="AH21" s="113"/>
    </row>
    <row r="22" spans="1:34">
      <c r="B22" s="113" t="s">
        <v>150</v>
      </c>
      <c r="F22" s="29"/>
      <c r="G22" s="13"/>
      <c r="Y22" s="1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  <c r="AH22" s="113"/>
    </row>
    <row r="23" spans="1:34">
      <c r="B23" s="6" t="s">
        <v>112</v>
      </c>
      <c r="F23" s="102"/>
      <c r="Y23" s="113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0">AC24*AD24</f>
        <v>1.006622709560113</v>
      </c>
      <c r="AE23" s="113"/>
      <c r="AF23" s="113"/>
      <c r="AG23" s="113"/>
      <c r="AH23" s="113"/>
    </row>
    <row r="24" spans="1:34">
      <c r="B24" s="113" t="s">
        <v>151</v>
      </c>
      <c r="F24" s="29"/>
      <c r="Y24" s="1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0"/>
        <v>1.0049629315732038</v>
      </c>
      <c r="AE24" s="113"/>
      <c r="AF24" s="113"/>
      <c r="AG24" s="113"/>
      <c r="AH24" s="113"/>
    </row>
    <row r="25" spans="1:34">
      <c r="B25" s="113" t="s">
        <v>152</v>
      </c>
      <c r="F25" s="29"/>
      <c r="Y25" s="113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0"/>
        <v>1.0033058903246372</v>
      </c>
      <c r="AE25" s="113"/>
      <c r="AF25" s="113"/>
      <c r="AG25" s="113"/>
      <c r="AH25" s="113"/>
    </row>
    <row r="26" spans="1:34">
      <c r="B26" s="6" t="s">
        <v>113</v>
      </c>
      <c r="F26" s="102"/>
      <c r="Y26" s="113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0"/>
        <v>1.0016515813019202</v>
      </c>
      <c r="AE26" s="113"/>
      <c r="AF26" s="113"/>
      <c r="AG26" s="113"/>
      <c r="AH26" s="113"/>
    </row>
    <row r="27" spans="1:34">
      <c r="Y27" s="113"/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  <c r="AH27" s="113"/>
    </row>
    <row r="28" spans="1:34" ht="13">
      <c r="A28" s="5" t="s">
        <v>153</v>
      </c>
      <c r="B28" s="5"/>
      <c r="F28" s="100">
        <f>F7</f>
        <v>0</v>
      </c>
      <c r="Y28" s="113"/>
      <c r="Z28" s="113"/>
      <c r="AA28" s="113">
        <v>7</v>
      </c>
      <c r="AB28" s="122">
        <f>1/((1+'KJ-vuosi'!$B$16)^((DAY('Virkamies 7'!$F$7))/360))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  <c r="AH28" s="113"/>
    </row>
    <row r="29" spans="1:34" ht="13">
      <c r="B29" s="6" t="s">
        <v>103</v>
      </c>
      <c r="F29" s="101"/>
      <c r="Y29" s="113"/>
      <c r="Z29" s="113"/>
      <c r="AA29" s="113">
        <v>8</v>
      </c>
      <c r="AB29" s="122">
        <f>1/((1+'KJ-vuosi'!$B$16)^((DAY('Virkamies 7'!$F$7))/360))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  <c r="AH29" s="113"/>
    </row>
    <row r="30" spans="1:34">
      <c r="B30" s="6" t="s">
        <v>104</v>
      </c>
      <c r="F30" s="29"/>
      <c r="Y30" s="113"/>
      <c r="Z30" s="113"/>
      <c r="AA30" s="113">
        <v>9</v>
      </c>
      <c r="AB30" s="122">
        <f>1/((1+'KJ-vuosi'!$B$16)^((DAY('Virkamies 7'!$F$7))/360))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  <c r="AH30" s="113"/>
    </row>
    <row r="31" spans="1:34" ht="13">
      <c r="B31" s="6" t="s">
        <v>105</v>
      </c>
      <c r="F31" s="101"/>
      <c r="Y31" s="113"/>
      <c r="Z31" s="113"/>
      <c r="AA31" s="113">
        <v>10</v>
      </c>
      <c r="AB31" s="122">
        <f>1/((1+'KJ-vuosi'!$B$16)^((DAY('Virkamies 7'!$F$7))/360))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  <c r="AH31" s="113"/>
    </row>
    <row r="32" spans="1:34">
      <c r="B32" s="6" t="s">
        <v>106</v>
      </c>
      <c r="F32" s="29"/>
      <c r="Y32" s="113"/>
      <c r="Z32" s="113"/>
      <c r="AA32" s="113">
        <v>11</v>
      </c>
      <c r="AB32" s="122">
        <f>1/((1+'KJ-vuosi'!$B$16)^((DAY('Virkamies 7'!$F$7))/360))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  <c r="AH32" s="113"/>
    </row>
    <row r="33" spans="1:34" ht="13">
      <c r="B33" s="6" t="s">
        <v>107</v>
      </c>
      <c r="F33" s="101"/>
      <c r="Y33" s="113"/>
      <c r="Z33" s="113"/>
      <c r="AA33" s="113">
        <v>12</v>
      </c>
      <c r="AB33" s="122">
        <f>1/((1+'KJ-vuosi'!$B$16)^((DAY('Virkamies 7'!$F$7))/360))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  <c r="AH33" s="113"/>
    </row>
    <row r="34" spans="1:34">
      <c r="B34" s="6" t="s">
        <v>108</v>
      </c>
      <c r="F34" s="29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1:34"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</row>
    <row r="36" spans="1:34">
      <c r="A36" s="6" t="s">
        <v>27</v>
      </c>
    </row>
    <row r="38" spans="1:34" ht="18">
      <c r="A38" s="1" t="s">
        <v>28</v>
      </c>
      <c r="I38" s="13"/>
    </row>
    <row r="39" spans="1:34">
      <c r="I39" s="13"/>
    </row>
    <row r="40" spans="1:34">
      <c r="A40" s="6" t="s">
        <v>163</v>
      </c>
      <c r="D40" s="119">
        <f>IF(F6="",18,YEAR(F6)-(1900+MID(F5,5,2)))</f>
        <v>18</v>
      </c>
      <c r="I40" s="13"/>
    </row>
    <row r="41" spans="1:34">
      <c r="A41" s="113" t="s">
        <v>125</v>
      </c>
      <c r="D41" s="33" t="str">
        <f>+"1.7."&amp;TEXT('KJ-vuosi'!$B$3,0)</f>
        <v>1.7.2021</v>
      </c>
      <c r="I41" s="13"/>
    </row>
    <row r="42" spans="1:34">
      <c r="C42" s="32"/>
      <c r="I42" s="13"/>
    </row>
    <row r="43" spans="1:34" ht="13">
      <c r="A43" s="5" t="s">
        <v>8</v>
      </c>
      <c r="I43" s="13"/>
    </row>
    <row r="44" spans="1:34">
      <c r="C44" s="7" t="s">
        <v>14</v>
      </c>
      <c r="D44" s="7" t="s">
        <v>23</v>
      </c>
      <c r="E44" s="114" t="s">
        <v>119</v>
      </c>
      <c r="I44" s="13"/>
    </row>
    <row r="45" spans="1:34">
      <c r="C45" s="7" t="s">
        <v>9</v>
      </c>
      <c r="D45" s="9" t="s">
        <v>24</v>
      </c>
      <c r="E45" s="7" t="s">
        <v>26</v>
      </c>
      <c r="I45" s="13"/>
    </row>
    <row r="46" spans="1:34">
      <c r="C46" s="8"/>
      <c r="D46" s="9" t="s">
        <v>25</v>
      </c>
      <c r="E46" s="7" t="str">
        <f>+D41&amp;")"</f>
        <v>1.7.2021)</v>
      </c>
      <c r="I46" s="13"/>
    </row>
    <row r="47" spans="1:34">
      <c r="C47" s="8"/>
      <c r="E47" s="9"/>
      <c r="I47" s="13"/>
    </row>
    <row r="48" spans="1:34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7'!F$6</f>
        <v>0</v>
      </c>
      <c r="D50" s="11">
        <f>'Virkamies 7'!F$8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7'!$F$7),aika7,4))*(VLOOKUP(MONTH('Virkamies 7'!$F$7),aika7,2)),2)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7'!$F$12*12*VLOOKUP($D$40,IF(DAYS360('poa2021'!$B$1,$F$6)&gt;0,'poa2021'!$F$5:$I$57,vastuunjako),3)</f>
        <v>0</v>
      </c>
      <c r="D52" s="17">
        <f>C52*(1+0.031*((IF(DAY('Virkamies 7'!$F$8)=31,DAYS360('Virkamies 7'!$F$6,'Virkamies 7'!$F$8,TRUE)-1,DAYS360('Virkamies 7'!$F$6,'Virkamies 7'!$F$8,TRUE)))/360))</f>
        <v>0</v>
      </c>
      <c r="E52" s="25">
        <f>ROUND(D52*(VLOOKUP(MONTH('Virkamies 7'!$F$7),aika7,4))*(VLOOKUP(MONTH('Virkamies 7'!$F$7),aika7,2)),2)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7'!$F$12*12*VLOOKUP($D$40,IF(DAYS360('poa2021'!$B$1,$F$6)&gt;0,'poa2021'!$F$5:$I$57,vastuunjako),4)</f>
        <v>0</v>
      </c>
      <c r="D53" s="15">
        <f>C53*(1+0.031*((IF(DAY('Virkamies 7'!$F$8)=31,DAYS360('Virkamies 7'!$F$6,'Virkamies 7'!$F$8,TRUE)-1,DAYS360('Virkamies 7'!$F$6,'Virkamies 7'!$F$8,TRUE)))/360))</f>
        <v>0</v>
      </c>
      <c r="E53" s="26">
        <f>ROUND(D53*(VLOOKUP(MONTH('Virkamies 7'!$F$7),aika7,4))*(VLOOKUP(MONTH('Virkamies 7'!$F$7),aika7,2)),2)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7'!$F$12*12*VLOOKUP($D$40,IF(DAYS360('poa2021'!$B$1,$F$6)&gt;0,'poa2021'!$B$5:$C$57,perusturva),2)</f>
        <v>0</v>
      </c>
      <c r="D54" s="32">
        <f>C54*(1+0.031*((IF(DAY('Virkamies 7'!$F$8)=31,DAYS360('Virkamies 7'!$F$6,'Virkamies 7'!$F$8,TRUE)-1,DAYS360('Virkamies 7'!$F$6,'Virkamies 7'!$F$8,TRUE)))/360))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7'!$F$14*12*VLOOKUP($D$40,IF(DAYS360('poa2021'!B1,F6)&gt;0,'poa2021'!B5:C57,perusturva),2))*(1+0.031*((IF(DAY('Virkamies 7'!$F$8)=31,DAYS360('Virkamies 7'!$F$6,'Virkamies 7'!$F$8,TRUE)-1,DAYS360('Virkamies 7'!$F$6,'Virkamies 7'!$F$8,TRUE)))/360))*(VLOOKUP(MONTH('Virkamies 7'!$F$7),aika1,4))*(VLOOKUP(MONTH('Virkamies 7'!$F$7),aika1,2))),2)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  <c r="H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7'!F$6</f>
        <v>0</v>
      </c>
      <c r="D58" s="11">
        <f>'Virkamies 7'!F$8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7'!$F$7),aika7,4))*(VLOOKUP(MONTH('Virkamies 7'!$F$7),aika7,2)),2)</f>
        <v>0</v>
      </c>
    </row>
    <row r="60" spans="1:9">
      <c r="A60" s="10" t="s">
        <v>2</v>
      </c>
      <c r="C60" s="17">
        <f>'Virkamies 7'!$F$13*12*VLOOKUP($D$40,IF(DAYS360('poa2021'!$B$1,$F$6)&gt;0,'poa2021'!$F$5:$I$57,vastuunjako),3)</f>
        <v>0</v>
      </c>
      <c r="D60" s="83">
        <f>C60*(1+0.031*((IF(DAY('Virkamies 7'!$F$8)=31,DAYS360('Virkamies 7'!$F$6,'Virkamies 7'!$F$8,TRUE)-1,DAYS360('Virkamies 7'!$F$6,'Virkamies 7'!$F$8,TRUE)))/360))</f>
        <v>0</v>
      </c>
      <c r="E60" s="84">
        <f>ROUND(D60*(VLOOKUP(MONTH('Virkamies 7'!$F$7),aika7,4))*(VLOOKUP(MONTH('Virkamies 7'!$F$7),aika7,2)),2)</f>
        <v>0</v>
      </c>
    </row>
    <row r="61" spans="1:9">
      <c r="A61" s="14" t="s">
        <v>3</v>
      </c>
      <c r="B61" s="28"/>
      <c r="C61" s="15">
        <f>'Virkamies 7'!$F$13*12*VLOOKUP($D$40,IF(DAYS360('poa2021'!$B$1,$F$6)&gt;0,'poa2021'!$F$5:$I$57,vastuunjako),4)</f>
        <v>0</v>
      </c>
      <c r="D61" s="85">
        <f>C61*(1+0.031*((IF(DAY('Virkamies 7'!$F$8)=31,DAYS360('Virkamies 7'!$F$6,'Virkamies 7'!$F$8,TRUE)-1,DAYS360('Virkamies 7'!$F$6,'Virkamies 7'!$F$8,TRUE)))/360))</f>
        <v>0</v>
      </c>
      <c r="E61" s="86">
        <f>ROUND(D61*(VLOOKUP(MONTH('Virkamies 7'!$F$7),aika7,4))*(VLOOKUP(MONTH('Virkamies 7'!$F$7),aika7,2)),2)</f>
        <v>0</v>
      </c>
    </row>
    <row r="62" spans="1:9">
      <c r="A62" s="6" t="s">
        <v>10</v>
      </c>
      <c r="C62" s="32">
        <f>'Virkamies 7'!$F$13*12*VLOOKUP($D$40,IF(DAYS360('poa2021'!$B$1,$F$6)&gt;0,'poa2021'!$B$5:$C$57,perusturva),2)</f>
        <v>0</v>
      </c>
      <c r="D62" s="13">
        <f>C62*(1+0.031*((IF(DAY('Virkamies 7'!$F$8)=31,DAYS360('Virkamies 7'!$F$6,'Virkamies 7'!$F$8,TRUE)-1,DAYS360('Virkamies 7'!$F$6,'Virkamies 7'!$F$8,TRUE)))/360))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1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1" ht="13">
      <c r="A66" s="5"/>
      <c r="C66" s="11">
        <f>'Virkamies 7'!F$6</f>
        <v>0</v>
      </c>
      <c r="D66" s="11">
        <f>'Virkamies 7'!F$8</f>
        <v>0</v>
      </c>
      <c r="E66" s="21" t="str">
        <f>$D$41</f>
        <v>1.7.2021</v>
      </c>
      <c r="G66" s="7" t="s">
        <v>62</v>
      </c>
    </row>
    <row r="67" spans="1:11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7'!$F$7),aikaYEL7,4))*(VLOOKUP(MONTH('Virkamies 7'!$F$7),aikaYEL7,2)),2)</f>
        <v>0</v>
      </c>
      <c r="G67" s="7" t="s">
        <v>63</v>
      </c>
    </row>
    <row r="68" spans="1:11">
      <c r="A68" s="10" t="s">
        <v>2</v>
      </c>
      <c r="C68" s="17">
        <f>'Virkamies 7'!$F$15*12*VLOOKUP($D$40,IF(DAYS360('poa2021'!$B$1,$F$6)&gt;0,'poa2021'!$F$5:$I$57,vastuunjako),3)</f>
        <v>0</v>
      </c>
      <c r="D68" s="17">
        <f>C68*(1+0.031*((IF(DAY('Virkamies 7'!$F$8)=31,DAYS360('Virkamies 7'!$F$6,'Virkamies 7'!$F$8,TRUE)-1,DAYS360('Virkamies 7'!$F$6,'Virkamies 7'!$F$8,TRUE)))/360))</f>
        <v>0</v>
      </c>
      <c r="E68" s="84">
        <f>ROUND(D68*(VLOOKUP(MONTH('Virkamies 7'!$F$7),aikaYEL7,4))*(VLOOKUP(MONTH('Virkamies 7'!$F$7),aikaYEL7,2)),2)</f>
        <v>0</v>
      </c>
      <c r="G68" s="13">
        <f>E68</f>
        <v>0</v>
      </c>
    </row>
    <row r="69" spans="1:11">
      <c r="A69" s="14" t="s">
        <v>3</v>
      </c>
      <c r="B69" s="28"/>
      <c r="C69" s="15">
        <f>'Virkamies 7'!$F$15*12*VLOOKUP($D$40,IF(DAYS360('poa2021'!$B$1,$F$6)&gt;0,'poa2021'!$F$5:$I$57,vastuunjako),4)</f>
        <v>0</v>
      </c>
      <c r="D69" s="15">
        <f>C69*(1+0.031*((IF(DAY('Virkamies 7'!$F$8)=31,DAYS360('Virkamies 7'!$F$6,'Virkamies 7'!$F$8,TRUE)-1,DAYS360('Virkamies 7'!$F$6,'Virkamies 7'!$F$8,TRUE)))/360))</f>
        <v>0</v>
      </c>
      <c r="E69" s="86">
        <f>ROUND(D69*(VLOOKUP(MONTH('Virkamies 7'!$F$7),aikaYEL7,4))*(VLOOKUP(MONTH('Virkamies 7'!$F$7),aikaYEL7,2)),2)</f>
        <v>0</v>
      </c>
      <c r="G69" s="15">
        <f>E69</f>
        <v>0</v>
      </c>
    </row>
    <row r="70" spans="1:11" ht="13">
      <c r="A70" s="6" t="s">
        <v>10</v>
      </c>
      <c r="C70" s="32">
        <f>'Virkamies 7'!$F$15*12*VLOOKUP($D$40,IF(DAYS360('poa2021'!$B$1,$F$6)&gt;0,'poa2021'!$B$5:$C$57,perusturva),2)</f>
        <v>0</v>
      </c>
      <c r="D70" s="83">
        <f>C70*(1+0.031*((IF(DAY('Virkamies 7'!$F$8)=31,DAYS360('Virkamies 7'!$F$6,'Virkamies 7'!$F$8,TRUE)-1,DAYS360('Virkamies 7'!$F$6,'Virkamies 7'!$F$8,TRUE)))/360))</f>
        <v>0</v>
      </c>
      <c r="E70" s="83">
        <f>SUM(E67:E69)</f>
        <v>0</v>
      </c>
      <c r="F70" s="52"/>
      <c r="G70" s="44">
        <f>SUM(G68:G69)</f>
        <v>0</v>
      </c>
    </row>
    <row r="71" spans="1:11">
      <c r="C71" s="10"/>
      <c r="G71" s="16"/>
    </row>
    <row r="72" spans="1:11" ht="13">
      <c r="A72" s="5" t="s">
        <v>4</v>
      </c>
      <c r="C72" s="13"/>
      <c r="G72" s="16"/>
    </row>
    <row r="73" spans="1:11" ht="13">
      <c r="A73" s="5"/>
      <c r="C73" s="7" t="s">
        <v>15</v>
      </c>
      <c r="D73" s="7" t="s">
        <v>15</v>
      </c>
      <c r="E73" s="7" t="s">
        <v>15</v>
      </c>
      <c r="G73" s="16"/>
    </row>
    <row r="74" spans="1:11" ht="13">
      <c r="A74" s="5"/>
      <c r="C74" s="11">
        <f>'Virkamies 7'!F$6</f>
        <v>0</v>
      </c>
      <c r="D74" s="11">
        <f>'Virkamies 7'!F$8</f>
        <v>0</v>
      </c>
      <c r="E74" s="21" t="str">
        <f>$D$41</f>
        <v>1.7.2021</v>
      </c>
      <c r="G74" s="16"/>
    </row>
    <row r="75" spans="1:11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7'!$F$7),aika7,4))*(VLOOKUP(MONTH('Virkamies 7'!$F$7),aika7,2)),2)</f>
        <v>0</v>
      </c>
      <c r="G75" s="16"/>
    </row>
    <row r="76" spans="1:11" ht="13">
      <c r="A76" s="10" t="s">
        <v>2</v>
      </c>
      <c r="C76" s="17">
        <f>'Virkamies 7'!$F$16*12*VLOOKUP($D$40,IF(DAYS360('poa2021'!$B$1,$F$6)&gt;0,'poa2021'!$F$5:$I$57,vastuunjako),3)</f>
        <v>0</v>
      </c>
      <c r="D76" s="17">
        <f>C76*(1+0.031*((IF(DAY('Virkamies 7'!$F$8)=31,DAYS360('Virkamies 7'!$F$6,'Virkamies 7'!$F$8,TRUE)-1,DAYS360('Virkamies 7'!$F$6,'Virkamies 7'!$F$8,TRUE)))/360))</f>
        <v>0</v>
      </c>
      <c r="E76" s="24">
        <f>ROUND(D76*(VLOOKUP(MONTH('Virkamies 7'!$F$7),aika7,4))*(VLOOKUP(MONTH('Virkamies 7'!$F$7),aika7,2)),2)</f>
        <v>0</v>
      </c>
      <c r="G76" s="16"/>
    </row>
    <row r="77" spans="1:11" ht="13">
      <c r="A77" s="14" t="s">
        <v>3</v>
      </c>
      <c r="B77" s="28"/>
      <c r="C77" s="15">
        <f>'Virkamies 7'!$F$16*12*VLOOKUP($D$40,IF(DAYS360('poa2021'!$B$1,$F$6)&gt;0,'poa2021'!$F$5:$I$57,vastuunjako),4)</f>
        <v>0</v>
      </c>
      <c r="D77" s="15">
        <f>C77*(1+0.031*((IF(DAY('Virkamies 7'!$F$8)=31,DAYS360('Virkamies 7'!$F$6,'Virkamies 7'!$F$8,TRUE)-1,DAYS360('Virkamies 7'!$F$6,'Virkamies 7'!$F$8,TRUE)))/360))</f>
        <v>0</v>
      </c>
      <c r="E77" s="90">
        <f>ROUND(D77*(VLOOKUP(MONTH('Virkamies 7'!$F$7),aika7,4))*(VLOOKUP(MONTH('Virkamies 7'!$F$7),aika7,2)),2)</f>
        <v>0</v>
      </c>
      <c r="G77" s="16"/>
    </row>
    <row r="78" spans="1:11">
      <c r="A78" s="6" t="s">
        <v>10</v>
      </c>
      <c r="C78" s="32">
        <f>'Virkamies 7'!$F$16*12*VLOOKUP($D$40,IF(DAYS360('poa2021'!$B$1,$F$6)&gt;0,'poa2021'!$B$5:$C$57,perusturva),2)</f>
        <v>0</v>
      </c>
      <c r="D78" s="17">
        <f>C78*(1+0.031*((IF(DAY('Virkamies 7'!$F$8)=31,DAYS360('Virkamies 7'!$F$6,'Virkamies 7'!$F$8,TRUE)-1,DAYS360('Virkamies 7'!$F$6,'Virkamies 7'!$F$8,TRUE)))/360))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1">
      <c r="C79" s="17"/>
      <c r="D79" s="17"/>
      <c r="E79" s="17"/>
      <c r="G79" s="16"/>
      <c r="H79" s="12"/>
      <c r="I79" s="6" t="s">
        <v>111</v>
      </c>
    </row>
    <row r="80" spans="1:11" ht="13">
      <c r="A80" s="89" t="s">
        <v>155</v>
      </c>
      <c r="B80" s="34"/>
      <c r="C80" s="83">
        <f>'Virkamies 7'!$F$21*12*VLOOKUP($D$40,IF(DAYS360('poa2021'!$B$1,$F$6)&gt;0,'poa2021'!$B$62:$E$114,lisäturva),2)+'Virkamies 7'!$F$22*12*VLOOKUP($D$40,IF(DAYS360('poa2021'!$B$1,$F$6)&gt;0,'poa2021'!$B$62:$E$114,lisäturva),IF('Virkamies 7'!$F$23="LL",3,4))</f>
        <v>0</v>
      </c>
      <c r="D80" s="83">
        <f>C80*(1+0.031*((IF(DAY('Virkamies 7'!$F$8)=31,DAYS360('Virkamies 7'!$F$6,'Virkamies 7'!$F$8,TRUE)-1,DAYS360('Virkamies 7'!$F$6,'Virkamies 7'!$F$8,TRUE)))/360))</f>
        <v>0</v>
      </c>
      <c r="E80" s="91">
        <f>ROUND(D80*(VLOOKUP(MONTH('Virkamies 7'!$F$7),aika7,4))*(VLOOKUP(MONTH('Virkamies 7'!$F$7),aika7,2)),2)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</row>
    <row r="81" spans="1:11">
      <c r="A81" s="92"/>
      <c r="B81" s="34"/>
      <c r="C81" s="83"/>
      <c r="D81" s="34"/>
      <c r="E81" s="34"/>
      <c r="G81" s="13"/>
      <c r="K81" s="34"/>
    </row>
    <row r="82" spans="1:11" ht="13">
      <c r="A82" s="89" t="s">
        <v>156</v>
      </c>
      <c r="B82" s="34"/>
      <c r="C82" s="83">
        <f>'Virkamies 7'!$F$24*12*VLOOKUP($D$40,IF(DAYS360('poa2021'!$B$1,$F$6)&gt;0,'poa2021'!$B$62:$E$114,lisäturva),2)+'Virkamies 7'!$F$25*12*VLOOKUP($D$40,IF(DAYS360('poa2021'!$B$1,$F$6)&gt;0,'poa2021'!$B$62:$E$114,lisäturva),IF('Virkamies 7'!$F$26="LL",3,4))</f>
        <v>0</v>
      </c>
      <c r="D82" s="83">
        <f>C82*(1+0.031*((IF(DAY('Virkamies 7'!$F$8)=31,DAYS360('Virkamies 7'!$F$6,'Virkamies 7'!$F$8,TRUE)-1,DAYS360('Virkamies 7'!$F$6,'Virkamies 7'!$F$8,TRUE)))/360))</f>
        <v>0</v>
      </c>
      <c r="E82" s="91">
        <f>ROUND(D82*(VLOOKUP(MONTH('Virkamies 7'!$F$7),aikaYEL7,4))*(VLOOKUP(MONTH('Virkamies 7'!$F$7),aikaYEL7,2)),2)</f>
        <v>0</v>
      </c>
      <c r="G82" s="81"/>
      <c r="K82" s="34"/>
    </row>
    <row r="83" spans="1:11" ht="13">
      <c r="A83" s="34"/>
      <c r="B83" s="34"/>
      <c r="C83" s="83"/>
      <c r="D83" s="83"/>
      <c r="E83" s="87"/>
      <c r="F83" s="88"/>
      <c r="G83" s="83"/>
      <c r="H83" s="34"/>
      <c r="I83" s="32"/>
      <c r="J83" s="34"/>
    </row>
    <row r="84" spans="1:11" ht="13">
      <c r="A84" s="89" t="s">
        <v>70</v>
      </c>
      <c r="B84" s="34"/>
      <c r="C84" s="13">
        <f>'Virkamies 7'!$F$17*12*VLOOKUP($D$40,IF(DAYS360('poa2021'!$B$1,$F$6)&gt;0,'poa2021'!$B$5:$C$57,perusturva),2)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7'!$F$7),aika7,4))*(VLOOKUP(MONTH('Virkamies 7'!$F$7),aika7,2)),2)</f>
        <v>0</v>
      </c>
      <c r="F84" s="88"/>
      <c r="G84" s="83"/>
      <c r="H84" s="34"/>
      <c r="I84" s="32"/>
      <c r="J84" s="34"/>
    </row>
    <row r="85" spans="1:11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</row>
    <row r="86" spans="1:11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</row>
    <row r="87" spans="1:11" s="34" customForma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90" spans="1:11">
      <c r="C90" s="34"/>
      <c r="E90" s="17"/>
      <c r="I90" s="13"/>
    </row>
    <row r="91" spans="1:11">
      <c r="B91" s="27"/>
      <c r="C91" s="34"/>
      <c r="E91" s="54"/>
      <c r="F91" s="53"/>
    </row>
    <row r="92" spans="1:11">
      <c r="B92" s="10"/>
      <c r="C92" s="34"/>
    </row>
    <row r="93" spans="1:11">
      <c r="C93" s="3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13"/>
  <dimension ref="A1:AI87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0.54296875" style="6" customWidth="1"/>
    <col min="10" max="27" width="9.1796875" style="6"/>
    <col min="28" max="28" width="11.54296875" style="6" customWidth="1"/>
    <col min="29" max="16384" width="9.1796875" style="6"/>
  </cols>
  <sheetData>
    <row r="1" spans="1:35" ht="18">
      <c r="A1" s="1" t="s">
        <v>34</v>
      </c>
      <c r="Y1" s="113"/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  <c r="AI1" s="113"/>
    </row>
    <row r="2" spans="1:35" ht="18">
      <c r="A2" s="56"/>
      <c r="B2" s="54"/>
      <c r="D2" s="55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</row>
    <row r="3" spans="1:35" ht="13">
      <c r="A3" s="5" t="s">
        <v>19</v>
      </c>
      <c r="D3" s="13"/>
      <c r="Y3" s="1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  <c r="AH3" s="113"/>
      <c r="AI3" s="113"/>
    </row>
    <row r="4" spans="1:35" ht="13">
      <c r="A4" s="5"/>
      <c r="B4" s="6" t="s">
        <v>30</v>
      </c>
      <c r="F4" s="37"/>
      <c r="Y4" s="11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>AC5*AD5</f>
        <v>1.006622709560113</v>
      </c>
      <c r="AE4" s="113"/>
      <c r="AF4" s="113"/>
      <c r="AG4" s="113"/>
      <c r="AH4" s="113"/>
      <c r="AI4" s="113"/>
    </row>
    <row r="5" spans="1:35">
      <c r="B5" s="6" t="s">
        <v>5</v>
      </c>
      <c r="F5" s="102"/>
      <c r="Y5" s="113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>AC6*AD6</f>
        <v>1.0049629315732038</v>
      </c>
      <c r="AE5" s="113"/>
      <c r="AF5" s="113"/>
      <c r="AG5" s="113"/>
      <c r="AH5" s="113"/>
      <c r="AI5" s="113"/>
    </row>
    <row r="6" spans="1:35">
      <c r="B6" s="6" t="s">
        <v>6</v>
      </c>
      <c r="F6" s="30"/>
      <c r="Y6" s="11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>AC7*AD7</f>
        <v>1.0033058903246372</v>
      </c>
      <c r="AE6" s="113"/>
      <c r="AF6" s="113"/>
      <c r="AG6" s="113"/>
      <c r="AH6" s="113"/>
      <c r="AI6" s="113"/>
    </row>
    <row r="7" spans="1:35">
      <c r="B7" s="6" t="s">
        <v>0</v>
      </c>
      <c r="F7" s="31"/>
      <c r="Y7" s="113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>AC8</f>
        <v>1.0016515813019202</v>
      </c>
      <c r="AE7" s="113"/>
      <c r="AF7" s="113"/>
      <c r="AG7" s="113"/>
      <c r="AH7" s="113"/>
      <c r="AI7" s="113"/>
    </row>
    <row r="8" spans="1:35">
      <c r="B8" s="6" t="s">
        <v>18</v>
      </c>
      <c r="F8" s="30"/>
      <c r="Y8" s="113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  <c r="AH8" s="113"/>
      <c r="AI8" s="113"/>
    </row>
    <row r="9" spans="1:35">
      <c r="F9" s="32"/>
      <c r="Y9" s="113"/>
      <c r="Z9" s="113"/>
      <c r="AA9" s="113">
        <v>7</v>
      </c>
      <c r="AB9" s="122">
        <f>1/((1+'KJ-vuosi'!B10)^((DAY('Virkamies 8'!$F$7))/360))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  <c r="AH9" s="113"/>
      <c r="AI9" s="113"/>
    </row>
    <row r="10" spans="1:35" ht="13">
      <c r="A10" s="5" t="s">
        <v>7</v>
      </c>
      <c r="F10" s="32"/>
      <c r="Y10" s="113"/>
      <c r="Z10" s="113"/>
      <c r="AA10" s="113">
        <v>8</v>
      </c>
      <c r="AB10" s="122">
        <f>1/((1+'KJ-vuosi'!B11)^((DAY('Virkamies 8'!$F$7))/360))</f>
        <v>1</v>
      </c>
      <c r="AC10" s="113">
        <f>+(1+'KJ-vuosi'!B11)^(-1/12)</f>
        <v>0.99835114192125218</v>
      </c>
      <c r="AD10" s="113">
        <f>AC9</f>
        <v>0.99835114192125218</v>
      </c>
      <c r="AE10" s="113"/>
      <c r="AF10" s="113"/>
      <c r="AG10" s="113"/>
      <c r="AH10" s="113"/>
      <c r="AI10" s="113"/>
    </row>
    <row r="11" spans="1:35" ht="13">
      <c r="A11" s="5" t="s">
        <v>17</v>
      </c>
      <c r="F11" s="32"/>
      <c r="Y11" s="113"/>
      <c r="Z11" s="113"/>
      <c r="AA11" s="113">
        <v>9</v>
      </c>
      <c r="AB11" s="122">
        <f>1/((1+'KJ-vuosi'!B12)^((DAY('Virkamies 8'!$F$7))/360))</f>
        <v>1</v>
      </c>
      <c r="AC11" s="113">
        <f>+(1+'KJ-vuosi'!B12)^(-1/12)</f>
        <v>0.99835114192125218</v>
      </c>
      <c r="AD11" s="113">
        <f>AD10*AC10</f>
        <v>0.99670500257546824</v>
      </c>
      <c r="AE11" s="113"/>
      <c r="AF11" s="113"/>
      <c r="AG11" s="113"/>
      <c r="AH11" s="113"/>
      <c r="AI11" s="113"/>
    </row>
    <row r="12" spans="1:35">
      <c r="B12" s="113" t="s">
        <v>120</v>
      </c>
      <c r="F12" s="29"/>
      <c r="G12" s="13"/>
      <c r="Y12" s="113"/>
      <c r="Z12" s="113"/>
      <c r="AA12" s="113">
        <v>10</v>
      </c>
      <c r="AB12" s="122">
        <f>1/((1+'KJ-vuosi'!B13)^((DAY('Virkamies 8'!$F$7))/360))</f>
        <v>1</v>
      </c>
      <c r="AC12" s="113">
        <f>+(1+'KJ-vuosi'!B13)^(-1/12)</f>
        <v>0.99835114192125218</v>
      </c>
      <c r="AD12" s="113">
        <f>AD11*AC11</f>
        <v>0.99506157747984336</v>
      </c>
      <c r="AE12" s="113"/>
      <c r="AF12" s="113"/>
      <c r="AG12" s="113"/>
      <c r="AH12" s="113"/>
      <c r="AI12" s="113"/>
    </row>
    <row r="13" spans="1:35">
      <c r="B13" s="6" t="s">
        <v>42</v>
      </c>
      <c r="F13" s="29"/>
      <c r="Y13" s="113"/>
      <c r="Z13" s="113"/>
      <c r="AA13" s="113">
        <v>11</v>
      </c>
      <c r="AB13" s="122">
        <f>1/((1+'KJ-vuosi'!B14)^((DAY('Virkamies 8'!$F$7))/360))</f>
        <v>1</v>
      </c>
      <c r="AC13" s="113">
        <f>+(1+'KJ-vuosi'!B14)^(-1/12)</f>
        <v>0.99835114192125218</v>
      </c>
      <c r="AD13" s="113">
        <f>AD12*AC12</f>
        <v>0.99342086215896419</v>
      </c>
      <c r="AE13" s="113"/>
      <c r="AF13" s="113"/>
      <c r="AG13" s="113"/>
      <c r="AH13" s="113"/>
      <c r="AI13" s="113"/>
    </row>
    <row r="14" spans="1:35">
      <c r="B14" s="6" t="s">
        <v>92</v>
      </c>
      <c r="F14" s="29"/>
      <c r="Y14" s="113"/>
      <c r="Z14" s="113"/>
      <c r="AA14" s="113">
        <v>12</v>
      </c>
      <c r="AB14" s="122">
        <f>1/((1+'KJ-vuosi'!B15)^((DAY('Virkamies 8'!$F$7))/360))</f>
        <v>1</v>
      </c>
      <c r="AC14" s="113">
        <f>+(1+'KJ-vuosi'!B15)^(-1/12)</f>
        <v>0.99835114192125218</v>
      </c>
      <c r="AD14" s="113">
        <f>AD13*AC13</f>
        <v>0.99178285214479678</v>
      </c>
      <c r="AE14" s="113"/>
      <c r="AF14" s="113"/>
      <c r="AG14" s="113"/>
      <c r="AH14" s="113"/>
      <c r="AI14" s="113"/>
    </row>
    <row r="15" spans="1:35">
      <c r="B15" s="6" t="s">
        <v>43</v>
      </c>
      <c r="F15" s="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</row>
    <row r="16" spans="1:35">
      <c r="B16" s="6" t="s">
        <v>44</v>
      </c>
      <c r="F16" s="29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</row>
    <row r="17" spans="1:35">
      <c r="B17" s="6" t="s">
        <v>69</v>
      </c>
      <c r="F17" s="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</row>
    <row r="18" spans="1:35">
      <c r="F18" s="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</row>
    <row r="19" spans="1:35" ht="13">
      <c r="A19" s="5" t="s">
        <v>154</v>
      </c>
      <c r="F19" s="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ht="13">
      <c r="A20" s="5" t="s">
        <v>17</v>
      </c>
      <c r="F20" s="13"/>
      <c r="Y20" s="1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121" t="str">
        <f>LEFT(F5,2)&amp;"."&amp;MID(F5,3,2)&amp;".19"&amp;MID(F5,5,2)</f>
        <v>..19</v>
      </c>
      <c r="AI20" s="113"/>
    </row>
    <row r="21" spans="1:35">
      <c r="B21" s="113" t="s">
        <v>149</v>
      </c>
      <c r="F21" s="29"/>
      <c r="G21" s="13"/>
      <c r="Y21" s="113"/>
      <c r="Z21" s="113"/>
      <c r="AA21" s="113"/>
      <c r="AB21" s="113" t="s">
        <v>74</v>
      </c>
      <c r="AC21" s="113"/>
      <c r="AD21" s="113"/>
      <c r="AE21" s="113"/>
      <c r="AF21" s="113"/>
      <c r="AG21" s="113"/>
      <c r="AH21" s="113"/>
      <c r="AI21" s="113"/>
    </row>
    <row r="22" spans="1:35">
      <c r="B22" s="113" t="s">
        <v>150</v>
      </c>
      <c r="F22" s="29"/>
      <c r="G22" s="13"/>
      <c r="Y22" s="1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  <c r="AH22" s="113"/>
      <c r="AI22" s="113"/>
    </row>
    <row r="23" spans="1:35">
      <c r="B23" s="6" t="s">
        <v>112</v>
      </c>
      <c r="F23" s="102"/>
      <c r="Y23" s="113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0">AC24*AD24</f>
        <v>1.006622709560113</v>
      </c>
      <c r="AE23" s="113"/>
      <c r="AF23" s="113"/>
      <c r="AG23" s="113"/>
      <c r="AH23" s="113"/>
      <c r="AI23" s="113"/>
    </row>
    <row r="24" spans="1:35">
      <c r="B24" s="113" t="s">
        <v>151</v>
      </c>
      <c r="F24" s="29"/>
      <c r="Y24" s="1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0"/>
        <v>1.0049629315732038</v>
      </c>
      <c r="AE24" s="113"/>
      <c r="AF24" s="113"/>
      <c r="AG24" s="113"/>
      <c r="AH24" s="113"/>
      <c r="AI24" s="113"/>
    </row>
    <row r="25" spans="1:35">
      <c r="B25" s="113" t="s">
        <v>152</v>
      </c>
      <c r="F25" s="29"/>
      <c r="Y25" s="113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0"/>
        <v>1.0033058903246372</v>
      </c>
      <c r="AE25" s="113"/>
      <c r="AF25" s="113"/>
      <c r="AG25" s="113"/>
      <c r="AH25" s="113"/>
      <c r="AI25" s="113"/>
    </row>
    <row r="26" spans="1:35">
      <c r="B26" s="6" t="s">
        <v>113</v>
      </c>
      <c r="F26" s="102"/>
      <c r="Y26" s="113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0"/>
        <v>1.0016515813019202</v>
      </c>
      <c r="AE26" s="113"/>
      <c r="AF26" s="113"/>
      <c r="AG26" s="113"/>
      <c r="AH26" s="113"/>
      <c r="AI26" s="113"/>
    </row>
    <row r="27" spans="1:35">
      <c r="Y27" s="113"/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  <c r="AH27" s="113"/>
      <c r="AI27" s="113"/>
    </row>
    <row r="28" spans="1:35" ht="13">
      <c r="A28" s="5" t="s">
        <v>153</v>
      </c>
      <c r="B28" s="5"/>
      <c r="F28" s="100">
        <f>F7</f>
        <v>0</v>
      </c>
      <c r="Y28" s="113"/>
      <c r="Z28" s="113"/>
      <c r="AA28" s="113">
        <v>7</v>
      </c>
      <c r="AB28" s="122">
        <f>1/((1+'KJ-vuosi'!$B$16)^((DAY('Virkamies 8'!$F$7))/360))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  <c r="AH28" s="113"/>
      <c r="AI28" s="113"/>
    </row>
    <row r="29" spans="1:35" ht="13">
      <c r="B29" s="6" t="s">
        <v>103</v>
      </c>
      <c r="F29" s="101"/>
      <c r="Y29" s="113"/>
      <c r="Z29" s="113"/>
      <c r="AA29" s="113">
        <v>8</v>
      </c>
      <c r="AB29" s="122">
        <f>1/((1+'KJ-vuosi'!$B$16)^((DAY('Virkamies 8'!$F$7))/360))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  <c r="AH29" s="113"/>
      <c r="AI29" s="113"/>
    </row>
    <row r="30" spans="1:35">
      <c r="B30" s="6" t="s">
        <v>104</v>
      </c>
      <c r="F30" s="29"/>
      <c r="Y30" s="113"/>
      <c r="Z30" s="113"/>
      <c r="AA30" s="113">
        <v>9</v>
      </c>
      <c r="AB30" s="122">
        <f>1/((1+'KJ-vuosi'!$B$16)^((DAY('Virkamies 8'!$F$7))/360))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  <c r="AH30" s="113"/>
      <c r="AI30" s="113"/>
    </row>
    <row r="31" spans="1:35" ht="13">
      <c r="B31" s="6" t="s">
        <v>105</v>
      </c>
      <c r="F31" s="101"/>
      <c r="Y31" s="113"/>
      <c r="Z31" s="113"/>
      <c r="AA31" s="113">
        <v>10</v>
      </c>
      <c r="AB31" s="122">
        <f>1/((1+'KJ-vuosi'!$B$16)^((DAY('Virkamies 8'!$F$7))/360))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  <c r="AH31" s="113"/>
      <c r="AI31" s="113"/>
    </row>
    <row r="32" spans="1:35">
      <c r="B32" s="6" t="s">
        <v>106</v>
      </c>
      <c r="F32" s="29"/>
      <c r="Y32" s="113"/>
      <c r="Z32" s="113"/>
      <c r="AA32" s="113">
        <v>11</v>
      </c>
      <c r="AB32" s="122">
        <f>1/((1+'KJ-vuosi'!$B$16)^((DAY('Virkamies 8'!$F$7))/360))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  <c r="AH32" s="113"/>
      <c r="AI32" s="113"/>
    </row>
    <row r="33" spans="1:35" ht="13">
      <c r="B33" s="6" t="s">
        <v>107</v>
      </c>
      <c r="F33" s="101"/>
      <c r="Y33" s="113"/>
      <c r="Z33" s="113"/>
      <c r="AA33" s="113">
        <v>12</v>
      </c>
      <c r="AB33" s="122">
        <f>1/((1+'KJ-vuosi'!$B$16)^((DAY('Virkamies 8'!$F$7))/360))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  <c r="AH33" s="113"/>
      <c r="AI33" s="113"/>
    </row>
    <row r="34" spans="1:35">
      <c r="B34" s="6" t="s">
        <v>108</v>
      </c>
      <c r="F34" s="29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</row>
    <row r="35" spans="1:35"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</row>
    <row r="36" spans="1:35">
      <c r="A36" s="6" t="s">
        <v>27</v>
      </c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</row>
    <row r="38" spans="1:35" ht="18">
      <c r="A38" s="1" t="s">
        <v>28</v>
      </c>
      <c r="I38" s="13"/>
    </row>
    <row r="39" spans="1:35">
      <c r="I39" s="13"/>
    </row>
    <row r="40" spans="1:35">
      <c r="A40" s="6" t="s">
        <v>163</v>
      </c>
      <c r="D40" s="119">
        <f>IF(F6="",18,YEAR(F6)-(1900+MID(F5,5,2)))</f>
        <v>18</v>
      </c>
      <c r="I40" s="13"/>
    </row>
    <row r="41" spans="1:35">
      <c r="A41" s="113" t="s">
        <v>125</v>
      </c>
      <c r="D41" s="33" t="str">
        <f>+"1.7."&amp;TEXT('KJ-vuosi'!$B$3,0)</f>
        <v>1.7.2021</v>
      </c>
      <c r="I41" s="13"/>
    </row>
    <row r="42" spans="1:35">
      <c r="C42" s="32"/>
      <c r="I42" s="13"/>
    </row>
    <row r="43" spans="1:35" ht="13">
      <c r="A43" s="5" t="s">
        <v>8</v>
      </c>
      <c r="I43" s="13"/>
    </row>
    <row r="44" spans="1:35">
      <c r="C44" s="7" t="s">
        <v>14</v>
      </c>
      <c r="D44" s="7" t="s">
        <v>23</v>
      </c>
      <c r="E44" s="114" t="s">
        <v>119</v>
      </c>
      <c r="I44" s="13"/>
    </row>
    <row r="45" spans="1:35">
      <c r="C45" s="7" t="s">
        <v>9</v>
      </c>
      <c r="D45" s="9" t="s">
        <v>24</v>
      </c>
      <c r="E45" s="7" t="s">
        <v>26</v>
      </c>
      <c r="I45" s="13"/>
    </row>
    <row r="46" spans="1:35">
      <c r="C46" s="8"/>
      <c r="D46" s="9" t="s">
        <v>25</v>
      </c>
      <c r="E46" s="7" t="str">
        <f>+D41&amp;")"</f>
        <v>1.7.2021)</v>
      </c>
      <c r="I46" s="13"/>
    </row>
    <row r="47" spans="1:35">
      <c r="C47" s="8"/>
      <c r="E47" s="9"/>
      <c r="I47" s="13"/>
    </row>
    <row r="48" spans="1:35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8'!F$6</f>
        <v>0</v>
      </c>
      <c r="D50" s="11">
        <f>'Virkamies 8'!F$8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8'!$F$7),aika8,4))*(VLOOKUP(MONTH('Virkamies 8'!$F$7),aika8,2)),2)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8'!$F$12*12*VLOOKUP($D$40,IF(DAYS360('poa2021'!$B$1,$F$6)&gt;0,'poa2021'!$F$5:$I$57,vastuunjako),3)</f>
        <v>0</v>
      </c>
      <c r="D52" s="17">
        <f>C52*(1+0.031*((IF(DAY('Virkamies 8'!$F$8)=31,DAYS360('Virkamies 8'!$F$6,'Virkamies 8'!$F$8,TRUE)-1,DAYS360('Virkamies 8'!$F$6,'Virkamies 8'!$F$8,TRUE)))/360))</f>
        <v>0</v>
      </c>
      <c r="E52" s="25">
        <f>ROUND(D52*(VLOOKUP(MONTH('Virkamies 8'!$F$7),aika8,4))*(VLOOKUP(MONTH('Virkamies 8'!$F$7),aika8,2)),2)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8'!$F$12*12*VLOOKUP($D$40,IF(DAYS360('poa2021'!$B$1,$F$6)&gt;0,'poa2021'!$F$5:$I$57,vastuunjako),4)</f>
        <v>0</v>
      </c>
      <c r="D53" s="15">
        <f>C53*(1+0.031*((IF(DAY('Virkamies 8'!$F$8)=31,DAYS360('Virkamies 8'!$F$6,'Virkamies 8'!$F$8,TRUE)-1,DAYS360('Virkamies 8'!$F$6,'Virkamies 8'!$F$8,TRUE)))/360))</f>
        <v>0</v>
      </c>
      <c r="E53" s="26">
        <f>ROUND(D53*(VLOOKUP(MONTH('Virkamies 8'!$F$7),aika8,4))*(VLOOKUP(MONTH('Virkamies 8'!$F$7),aika8,2)),2)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8'!$F$12*12*VLOOKUP($D$40,IF(DAYS360('poa2021'!$B$1,$F$6)&gt;0,'poa2021'!$B$5:$C$57,perusturva),2)</f>
        <v>0</v>
      </c>
      <c r="D54" s="32">
        <f>C54*(1+0.031*((IF(DAY('Virkamies 8'!$F$8)=31,DAYS360('Virkamies 8'!$F$6,'Virkamies 8'!$F$8,TRUE)-1,DAYS360('Virkamies 8'!$F$6,'Virkamies 8'!$F$8,TRUE)))/360))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8'!$F$14*12*VLOOKUP($D$40,IF(DAYS360('poa2021'!B1,F6)&gt;0,'poa2021'!B5:C57,perusturva),2))*(1+0.031*((IF(DAY('Virkamies 8'!$F$8)=31,DAYS360('Virkamies 8'!$F$6,'Virkamies 8'!$F$8,TRUE)-1,DAYS360('Virkamies 8'!$F$6,'Virkamies 8'!$F$8,TRUE)))/360))*(VLOOKUP(MONTH('Virkamies 8'!$F$7),aika1,4))*(VLOOKUP(MONTH('Virkamies 8'!$F$7),aika1,2))),2)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8'!F$6</f>
        <v>0</v>
      </c>
      <c r="D58" s="11">
        <f>'Virkamies 8'!F$8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8'!$F$7),aika8,4))*(VLOOKUP(MONTH('Virkamies 8'!$F$7),aika8,2)),2)</f>
        <v>0</v>
      </c>
    </row>
    <row r="60" spans="1:9">
      <c r="A60" s="10" t="s">
        <v>2</v>
      </c>
      <c r="C60" s="17">
        <f>'Virkamies 8'!$F$13*12*VLOOKUP($D$40,IF(DAYS360('poa2021'!$B$1,$F$6)&gt;0,'poa2021'!$F$5:$I$57,vastuunjako),3)</f>
        <v>0</v>
      </c>
      <c r="D60" s="83">
        <f>C60*(1+0.031*((IF(DAY('Virkamies 8'!$F$8)=31,DAYS360('Virkamies 8'!$F$6,'Virkamies 8'!$F$8,TRUE)-1,DAYS360('Virkamies 8'!$F$6,'Virkamies 8'!$F$8,TRUE)))/360))</f>
        <v>0</v>
      </c>
      <c r="E60" s="84">
        <f>ROUND(D60*(VLOOKUP(MONTH('Virkamies 8'!$F$7),aika8,4))*(VLOOKUP(MONTH('Virkamies 8'!$F$7),aika8,2)),2)</f>
        <v>0</v>
      </c>
    </row>
    <row r="61" spans="1:9">
      <c r="A61" s="14" t="s">
        <v>3</v>
      </c>
      <c r="B61" s="28"/>
      <c r="C61" s="15">
        <f>'Virkamies 8'!$F$13*12*VLOOKUP($D$40,IF(DAYS360('poa2021'!$B$1,$F$6)&gt;0,'poa2021'!$F$5:$I$57,vastuunjako),4)</f>
        <v>0</v>
      </c>
      <c r="D61" s="85">
        <f>C61*(1+0.031*((IF(DAY('Virkamies 8'!$F$8)=31,DAYS360('Virkamies 8'!$F$6,'Virkamies 8'!$F$8,TRUE)-1,DAYS360('Virkamies 8'!$F$6,'Virkamies 8'!$F$8,TRUE)))/360))</f>
        <v>0</v>
      </c>
      <c r="E61" s="86">
        <f>ROUND(D61*(VLOOKUP(MONTH('Virkamies 8'!$F$7),aika8,4))*(VLOOKUP(MONTH('Virkamies 8'!$F$7),aika8,2)),2)</f>
        <v>0</v>
      </c>
    </row>
    <row r="62" spans="1:9">
      <c r="A62" s="6" t="s">
        <v>10</v>
      </c>
      <c r="C62" s="32">
        <f>'Virkamies 8'!$F$13*12*VLOOKUP($D$40,IF(DAYS360('poa2021'!$B$1,$F$6)&gt;0,'poa2021'!$B$5:$C$57,perusturva),2)</f>
        <v>0</v>
      </c>
      <c r="D62" s="13">
        <f>C62*(1+0.031*((IF(DAY('Virkamies 8'!$F$8)=31,DAYS360('Virkamies 8'!$F$6,'Virkamies 8'!$F$8,TRUE)-1,DAYS360('Virkamies 8'!$F$6,'Virkamies 8'!$F$8,TRUE)))/360))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3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3" ht="13">
      <c r="A66" s="5"/>
      <c r="C66" s="11">
        <f>'Virkamies 8'!F$6</f>
        <v>0</v>
      </c>
      <c r="D66" s="11">
        <f>'Virkamies 8'!F$8</f>
        <v>0</v>
      </c>
      <c r="E66" s="21" t="str">
        <f>$D$41</f>
        <v>1.7.2021</v>
      </c>
      <c r="G66" s="7" t="s">
        <v>62</v>
      </c>
    </row>
    <row r="67" spans="1:13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8'!$F$7),aikaYEL8,4))*(VLOOKUP(MONTH('Virkamies 8'!$F$7),aikaYEL8,2)),2)</f>
        <v>0</v>
      </c>
      <c r="G67" s="7" t="s">
        <v>63</v>
      </c>
    </row>
    <row r="68" spans="1:13">
      <c r="A68" s="10" t="s">
        <v>2</v>
      </c>
      <c r="C68" s="17">
        <f>'Virkamies 8'!$F$15*12*VLOOKUP($D$40,IF(DAYS360('poa2021'!$B$1,$F$6)&gt;0,'poa2021'!$F$5:$I$57,vastuunjako),3)</f>
        <v>0</v>
      </c>
      <c r="D68" s="17">
        <f>C68*(1+0.031*((IF(DAY('Virkamies 8'!$F$8)=31,DAYS360('Virkamies 8'!$F$6,'Virkamies 8'!$F$8,TRUE)-1,DAYS360('Virkamies 8'!$F$6,'Virkamies 8'!$F$8,TRUE)))/360))</f>
        <v>0</v>
      </c>
      <c r="E68" s="84">
        <f>ROUND(D68*(VLOOKUP(MONTH('Virkamies 8'!$F$7),aikaYEL8,4))*(VLOOKUP(MONTH('Virkamies 8'!$F$7),aikaYEL8,2)),2)</f>
        <v>0</v>
      </c>
      <c r="G68" s="13">
        <f>E68</f>
        <v>0</v>
      </c>
    </row>
    <row r="69" spans="1:13">
      <c r="A69" s="14" t="s">
        <v>3</v>
      </c>
      <c r="B69" s="28"/>
      <c r="C69" s="15">
        <f>'Virkamies 8'!$F$15*12*VLOOKUP($D$40,IF(DAYS360('poa2021'!$B$1,$F$6)&gt;0,'poa2021'!$F$5:$I$57,vastuunjako),4)</f>
        <v>0</v>
      </c>
      <c r="D69" s="15">
        <f>C69*(1+0.031*((IF(DAY('Virkamies 8'!$F$8)=31,DAYS360('Virkamies 8'!$F$6,'Virkamies 8'!$F$8,TRUE)-1,DAYS360('Virkamies 8'!$F$6,'Virkamies 8'!$F$8,TRUE)))/360))</f>
        <v>0</v>
      </c>
      <c r="E69" s="86">
        <f>ROUND(D69*(VLOOKUP(MONTH('Virkamies 8'!$F$7),aikaYEL8,4))*(VLOOKUP(MONTH('Virkamies 8'!$F$7),aikaYEL8,2)),2)</f>
        <v>0</v>
      </c>
      <c r="G69" s="15">
        <f>E69</f>
        <v>0</v>
      </c>
    </row>
    <row r="70" spans="1:13" ht="13">
      <c r="A70" s="6" t="s">
        <v>10</v>
      </c>
      <c r="C70" s="32">
        <f>'Virkamies 8'!$F$15*12*VLOOKUP($D$40,IF(DAYS360('poa2021'!$B$1,$F$6)&gt;0,'poa2021'!$B$5:$C$57,perusturva),2)</f>
        <v>0</v>
      </c>
      <c r="D70" s="83">
        <f>C70*(1+0.031*((IF(DAY('Virkamies 8'!$F$8)=31,DAYS360('Virkamies 8'!$F$6,'Virkamies 8'!$F$8,TRUE)-1,DAYS360('Virkamies 8'!$F$6,'Virkamies 8'!$F$8,TRUE)))/360))</f>
        <v>0</v>
      </c>
      <c r="E70" s="83">
        <f>SUM(E67:E69)</f>
        <v>0</v>
      </c>
      <c r="F70" s="52"/>
      <c r="G70" s="44">
        <f>SUM(G68:G69)</f>
        <v>0</v>
      </c>
    </row>
    <row r="71" spans="1:13">
      <c r="C71" s="10"/>
      <c r="G71" s="16"/>
    </row>
    <row r="72" spans="1:13" ht="13">
      <c r="A72" s="5" t="s">
        <v>4</v>
      </c>
      <c r="C72" s="13"/>
      <c r="G72" s="16"/>
    </row>
    <row r="73" spans="1:13" ht="13">
      <c r="A73" s="5"/>
      <c r="C73" s="7" t="s">
        <v>15</v>
      </c>
      <c r="D73" s="7" t="s">
        <v>15</v>
      </c>
      <c r="E73" s="7" t="s">
        <v>15</v>
      </c>
      <c r="G73" s="16"/>
    </row>
    <row r="74" spans="1:13" ht="13">
      <c r="A74" s="5"/>
      <c r="C74" s="11">
        <f>'Virkamies 8'!F$6</f>
        <v>0</v>
      </c>
      <c r="D74" s="11">
        <f>'Virkamies 8'!F$8</f>
        <v>0</v>
      </c>
      <c r="E74" s="21" t="str">
        <f>$D$41</f>
        <v>1.7.2021</v>
      </c>
      <c r="G74" s="16"/>
    </row>
    <row r="75" spans="1:13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8'!$F$7),aika8,4))*(VLOOKUP(MONTH('Virkamies 8'!$F$7),aika8,2)),2)</f>
        <v>0</v>
      </c>
      <c r="G75" s="16"/>
    </row>
    <row r="76" spans="1:13" ht="13">
      <c r="A76" s="10" t="s">
        <v>2</v>
      </c>
      <c r="C76" s="17">
        <f>'Virkamies 8'!$F$16*12*VLOOKUP($D$40,IF(DAYS360('poa2021'!$B$1,$F$6)&gt;0,'poa2021'!$F$5:$I$57,vastuunjako),3)</f>
        <v>0</v>
      </c>
      <c r="D76" s="17">
        <f>C76*(1+0.031*((IF(DAY('Virkamies 8'!$F$8)=31,DAYS360('Virkamies 8'!$F$6,'Virkamies 8'!$F$8,TRUE)-1,DAYS360('Virkamies 8'!$F$6,'Virkamies 8'!$F$8,TRUE)))/360))</f>
        <v>0</v>
      </c>
      <c r="E76" s="24">
        <f>ROUND(D76*(VLOOKUP(MONTH('Virkamies 8'!$F$7),aika8,4))*(VLOOKUP(MONTH('Virkamies 8'!$F$7),aika8,2)),2)</f>
        <v>0</v>
      </c>
      <c r="G76" s="16"/>
    </row>
    <row r="77" spans="1:13" ht="13">
      <c r="A77" s="14" t="s">
        <v>3</v>
      </c>
      <c r="B77" s="28"/>
      <c r="C77" s="15">
        <f>'Virkamies 8'!$F$16*12*VLOOKUP($D$40,IF(DAYS360('poa2021'!$B$1,$F$6)&gt;0,'poa2021'!$F$5:$I$57,vastuunjako),4)</f>
        <v>0</v>
      </c>
      <c r="D77" s="15">
        <f>C77*(1+0.031*((IF(DAY('Virkamies 8'!$F$8)=31,DAYS360('Virkamies 8'!$F$6,'Virkamies 8'!$F$8,TRUE)-1,DAYS360('Virkamies 8'!$F$6,'Virkamies 8'!$F$8,TRUE)))/360))</f>
        <v>0</v>
      </c>
      <c r="E77" s="90">
        <f>ROUND(D77*(VLOOKUP(MONTH('Virkamies 8'!$F$7),aika8,4))*(VLOOKUP(MONTH('Virkamies 8'!$F$7),aika8,2)),2)</f>
        <v>0</v>
      </c>
      <c r="G77" s="16"/>
    </row>
    <row r="78" spans="1:13">
      <c r="A78" s="6" t="s">
        <v>10</v>
      </c>
      <c r="C78" s="32">
        <f>'Virkamies 8'!$F$16*12*VLOOKUP($D$40,IF(DAYS360('poa2021'!$B$1,$F$6)&gt;0,'poa2021'!$B$5:$C$57,perusturva),2)</f>
        <v>0</v>
      </c>
      <c r="D78" s="17">
        <f>C78*(1+0.031*((IF(DAY('Virkamies 8'!$F$8)=31,DAYS360('Virkamies 8'!$F$6,'Virkamies 8'!$F$8,TRUE)-1,DAYS360('Virkamies 8'!$F$6,'Virkamies 8'!$F$8,TRUE)))/360))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3">
      <c r="C79" s="17"/>
      <c r="D79" s="17"/>
      <c r="E79" s="17"/>
      <c r="G79" s="16"/>
      <c r="H79" s="12"/>
      <c r="I79" s="6" t="s">
        <v>111</v>
      </c>
    </row>
    <row r="80" spans="1:13" ht="13">
      <c r="A80" s="89" t="s">
        <v>155</v>
      </c>
      <c r="B80" s="34"/>
      <c r="C80" s="83">
        <f>'Virkamies 8'!$F$21*12*VLOOKUP($D$40,IF(DAYS360('poa2021'!$B$1,$F$6)&gt;0,'poa2021'!$B$62:$E$114,lisäturva),2)+'Virkamies 8'!$F$22*12*VLOOKUP($D$40,IF(DAYS360('poa2021'!$B$1,$F$6)&gt;0,'poa2021'!$B$62:$E$114,lisäturva),IF('Virkamies 8'!$F$23="LL",3,4))</f>
        <v>0</v>
      </c>
      <c r="D80" s="83">
        <f>C80*(1+0.031*((IF(DAY('Virkamies 8'!$F$8)=31,DAYS360('Virkamies 8'!$F$6,'Virkamies 8'!$F$8,TRUE)-1,DAYS360('Virkamies 8'!$F$6,'Virkamies 8'!$F$8,TRUE)))/360))</f>
        <v>0</v>
      </c>
      <c r="E80" s="91">
        <f>ROUND(D80*(VLOOKUP(MONTH('Virkamies 8'!$F$7),aika8,4))*(VLOOKUP(MONTH('Virkamies 8'!$F$7),aika8,2)),2)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  <c r="L80" s="34"/>
      <c r="M80" s="34"/>
    </row>
    <row r="81" spans="1:13">
      <c r="A81" s="92"/>
      <c r="B81" s="34"/>
      <c r="C81" s="83"/>
      <c r="D81" s="34"/>
      <c r="E81" s="34"/>
      <c r="G81" s="13"/>
      <c r="K81" s="34"/>
      <c r="L81" s="34"/>
      <c r="M81" s="34"/>
    </row>
    <row r="82" spans="1:13" ht="13">
      <c r="A82" s="89" t="s">
        <v>156</v>
      </c>
      <c r="B82" s="34"/>
      <c r="C82" s="83">
        <f>'Virkamies 8'!$F$24*12*VLOOKUP($D$40,IF(DAYS360('poa2021'!$B$1,$F$6)&gt;0,'poa2021'!$B$62:$E$114,lisäturva),2)+'Virkamies 8'!$F$25*12*VLOOKUP($D$40,IF(DAYS360('poa2021'!$B$1,$F$6)&gt;0,'poa2021'!$B$62:$E$114,lisäturva),IF('Virkamies 8'!$F$26="LL",3,4))</f>
        <v>0</v>
      </c>
      <c r="D82" s="83">
        <f>C82*(1+0.031*((IF(DAY('Virkamies 8'!$F$8)=31,DAYS360('Virkamies 8'!$F$6,'Virkamies 8'!$F$8,TRUE)-1,DAYS360('Virkamies 8'!$F$6,'Virkamies 8'!$F$8,TRUE)))/360))</f>
        <v>0</v>
      </c>
      <c r="E82" s="91">
        <f>ROUND(D82*(VLOOKUP(MONTH('Virkamies 8'!$F$7),aikaYEL8,4))*(VLOOKUP(MONTH('Virkamies 8'!$F$7),aikaYEL8,2)),2)</f>
        <v>0</v>
      </c>
      <c r="G82" s="81"/>
      <c r="K82" s="34"/>
      <c r="L82" s="34"/>
      <c r="M82" s="34"/>
    </row>
    <row r="83" spans="1:13" ht="13">
      <c r="A83" s="34"/>
      <c r="B83" s="34"/>
      <c r="C83" s="83"/>
      <c r="D83" s="83"/>
      <c r="E83" s="87"/>
      <c r="F83" s="88"/>
      <c r="G83" s="83"/>
      <c r="H83" s="34"/>
      <c r="I83" s="32"/>
      <c r="J83" s="34"/>
    </row>
    <row r="84" spans="1:13" ht="13">
      <c r="A84" s="89" t="s">
        <v>70</v>
      </c>
      <c r="B84" s="34"/>
      <c r="C84" s="13">
        <f>'Virkamies 8'!$F$17*12*VLOOKUP($D$40,IF(DAYS360('poa2021'!$B$1,$F$6)&gt;0,'poa2021'!$B$5:$C$57,perusturva),2)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8'!$F$7),aika8,4))*(VLOOKUP(MONTH('Virkamies 8'!$F$7),aika8,2)),2)</f>
        <v>0</v>
      </c>
      <c r="F84" s="88"/>
      <c r="G84" s="83"/>
      <c r="H84" s="34"/>
      <c r="I84" s="32"/>
      <c r="J84" s="34"/>
    </row>
    <row r="85" spans="1:13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  <c r="K85" s="6"/>
      <c r="L85" s="6"/>
      <c r="M85" s="6"/>
    </row>
    <row r="86" spans="1:13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  <c r="K86" s="6"/>
      <c r="L86" s="6"/>
      <c r="M86" s="6"/>
    </row>
    <row r="87" spans="1:13" s="34" customForma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4"/>
  <dimension ref="A1:AH93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1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20" t="str">
        <f>LEFT(F5,2)&amp;"."&amp;MID(F5,3,2)&amp;".19"&amp;MID(F5,5,2)</f>
        <v>..19</v>
      </c>
    </row>
    <row r="2" spans="1:34" ht="18">
      <c r="A2" s="56"/>
      <c r="B2" s="54"/>
      <c r="D2" s="55"/>
      <c r="Z2" s="113"/>
      <c r="AA2" s="113"/>
      <c r="AB2" s="113"/>
      <c r="AC2" s="113"/>
      <c r="AD2" s="113"/>
      <c r="AE2" s="113"/>
      <c r="AF2" s="113"/>
      <c r="AG2" s="113"/>
    </row>
    <row r="3" spans="1:34" ht="13">
      <c r="A3" s="5" t="s">
        <v>19</v>
      </c>
      <c r="D3" s="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</row>
    <row r="4" spans="1:34" ht="13">
      <c r="A4" s="5"/>
      <c r="B4" s="6" t="s">
        <v>30</v>
      </c>
      <c r="F4" s="37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>AC5*AD5</f>
        <v>1.006622709560113</v>
      </c>
      <c r="AE4" s="113"/>
      <c r="AF4" s="113"/>
      <c r="AG4" s="113"/>
    </row>
    <row r="5" spans="1:34">
      <c r="B5" s="6" t="s">
        <v>5</v>
      </c>
      <c r="F5" s="102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>AC6*AD6</f>
        <v>1.0049629315732038</v>
      </c>
      <c r="AE5" s="113"/>
      <c r="AF5" s="113"/>
      <c r="AG5" s="113"/>
    </row>
    <row r="6" spans="1:34">
      <c r="B6" s="6" t="s">
        <v>6</v>
      </c>
      <c r="F6" s="30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>AC7*AD7</f>
        <v>1.0033058903246372</v>
      </c>
      <c r="AE6" s="113"/>
      <c r="AF6" s="113"/>
      <c r="AG6" s="113"/>
    </row>
    <row r="7" spans="1:34">
      <c r="B7" s="6" t="s">
        <v>0</v>
      </c>
      <c r="F7" s="31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>AC8</f>
        <v>1.0016515813019202</v>
      </c>
      <c r="AE7" s="113"/>
      <c r="AF7" s="113"/>
      <c r="AG7" s="113"/>
    </row>
    <row r="8" spans="1:34">
      <c r="B8" s="6" t="s">
        <v>18</v>
      </c>
      <c r="F8" s="30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</row>
    <row r="9" spans="1:34">
      <c r="F9" s="32"/>
      <c r="Z9" s="113"/>
      <c r="AA9" s="113">
        <v>7</v>
      </c>
      <c r="AB9" s="122">
        <f>1/((1+'KJ-vuosi'!B10)^((DAY('Virkamies 9'!$F$7))/360))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</row>
    <row r="10" spans="1:34" ht="13">
      <c r="A10" s="5" t="s">
        <v>7</v>
      </c>
      <c r="F10" s="32"/>
      <c r="Z10" s="113"/>
      <c r="AA10" s="113">
        <v>8</v>
      </c>
      <c r="AB10" s="122">
        <f>1/((1+'KJ-vuosi'!B11)^((DAY('Virkamies 9'!$F$7))/360))</f>
        <v>1</v>
      </c>
      <c r="AC10" s="113">
        <f>+(1+'KJ-vuosi'!B11)^(-1/12)</f>
        <v>0.99835114192125218</v>
      </c>
      <c r="AD10" s="113">
        <f>AC9</f>
        <v>0.99835114192125218</v>
      </c>
      <c r="AE10" s="113"/>
      <c r="AF10" s="113"/>
      <c r="AG10" s="113"/>
    </row>
    <row r="11" spans="1:34" ht="13">
      <c r="A11" s="5" t="s">
        <v>17</v>
      </c>
      <c r="F11" s="32"/>
      <c r="Z11" s="113"/>
      <c r="AA11" s="113">
        <v>9</v>
      </c>
      <c r="AB11" s="122">
        <f>1/((1+'KJ-vuosi'!B12)^((DAY('Virkamies 9'!$F$7))/360))</f>
        <v>1</v>
      </c>
      <c r="AC11" s="113">
        <f>+(1+'KJ-vuosi'!B12)^(-1/12)</f>
        <v>0.99835114192125218</v>
      </c>
      <c r="AD11" s="113">
        <f>AD10*AC10</f>
        <v>0.99670500257546824</v>
      </c>
      <c r="AE11" s="113"/>
      <c r="AF11" s="113"/>
      <c r="AG11" s="113"/>
    </row>
    <row r="12" spans="1:34">
      <c r="B12" s="113" t="s">
        <v>120</v>
      </c>
      <c r="F12" s="29"/>
      <c r="G12" s="13"/>
      <c r="Z12" s="113"/>
      <c r="AA12" s="113">
        <v>10</v>
      </c>
      <c r="AB12" s="122">
        <f>1/((1+'KJ-vuosi'!B13)^((DAY('Virkamies 9'!$F$7))/360))</f>
        <v>1</v>
      </c>
      <c r="AC12" s="113">
        <f>+(1+'KJ-vuosi'!B13)^(-1/12)</f>
        <v>0.99835114192125218</v>
      </c>
      <c r="AD12" s="113">
        <f>AD11*AC11</f>
        <v>0.99506157747984336</v>
      </c>
      <c r="AE12" s="113"/>
      <c r="AF12" s="113"/>
      <c r="AG12" s="113"/>
    </row>
    <row r="13" spans="1:34">
      <c r="B13" s="6" t="s">
        <v>42</v>
      </c>
      <c r="F13" s="29"/>
      <c r="Z13" s="113"/>
      <c r="AA13" s="113">
        <v>11</v>
      </c>
      <c r="AB13" s="122">
        <f>1/((1+'KJ-vuosi'!B14)^((DAY('Virkamies 9'!$F$7))/360))</f>
        <v>1</v>
      </c>
      <c r="AC13" s="113">
        <f>+(1+'KJ-vuosi'!B14)^(-1/12)</f>
        <v>0.99835114192125218</v>
      </c>
      <c r="AD13" s="113">
        <f>AD12*AC12</f>
        <v>0.99342086215896419</v>
      </c>
      <c r="AE13" s="113"/>
      <c r="AF13" s="113"/>
      <c r="AG13" s="113"/>
    </row>
    <row r="14" spans="1:34">
      <c r="B14" s="6" t="s">
        <v>92</v>
      </c>
      <c r="F14" s="29"/>
      <c r="Z14" s="113"/>
      <c r="AA14" s="113">
        <v>12</v>
      </c>
      <c r="AB14" s="122">
        <f>1/((1+'KJ-vuosi'!B15)^((DAY('Virkamies 9'!$F$7))/360))</f>
        <v>1</v>
      </c>
      <c r="AC14" s="113">
        <f>+(1+'KJ-vuosi'!B15)^(-1/12)</f>
        <v>0.99835114192125218</v>
      </c>
      <c r="AD14" s="113">
        <f>AD13*AC13</f>
        <v>0.99178285214479678</v>
      </c>
      <c r="AE14" s="113"/>
      <c r="AF14" s="113"/>
      <c r="AG14" s="113"/>
    </row>
    <row r="15" spans="1:34">
      <c r="B15" s="6" t="s">
        <v>43</v>
      </c>
      <c r="F15" s="29"/>
      <c r="Z15" s="113"/>
      <c r="AA15" s="113"/>
      <c r="AB15" s="113"/>
      <c r="AC15" s="113"/>
      <c r="AD15" s="113"/>
      <c r="AE15" s="113"/>
      <c r="AF15" s="113"/>
      <c r="AG15" s="113"/>
    </row>
    <row r="16" spans="1:34">
      <c r="B16" s="6" t="s">
        <v>44</v>
      </c>
      <c r="F16" s="29"/>
      <c r="Z16" s="113"/>
      <c r="AA16" s="113"/>
      <c r="AB16" s="113"/>
      <c r="AC16" s="113"/>
      <c r="AD16" s="113"/>
      <c r="AE16" s="113"/>
      <c r="AF16" s="113"/>
      <c r="AG16" s="113"/>
    </row>
    <row r="17" spans="1:34">
      <c r="B17" s="6" t="s">
        <v>69</v>
      </c>
      <c r="F17" s="29"/>
      <c r="Z17" s="113"/>
      <c r="AA17" s="113"/>
      <c r="AB17" s="113"/>
      <c r="AC17" s="113"/>
      <c r="AD17" s="113"/>
      <c r="AE17" s="113"/>
      <c r="AF17" s="113"/>
      <c r="AG17" s="113"/>
    </row>
    <row r="18" spans="1:34">
      <c r="F18" s="13"/>
      <c r="Z18" s="113"/>
      <c r="AA18" s="113"/>
      <c r="AB18" s="113"/>
      <c r="AC18" s="113"/>
      <c r="AD18" s="113"/>
      <c r="AE18" s="113"/>
      <c r="AF18" s="113"/>
      <c r="AG18" s="113"/>
    </row>
    <row r="19" spans="1:34" ht="13">
      <c r="A19" s="5" t="s">
        <v>154</v>
      </c>
      <c r="F19" s="13"/>
      <c r="Z19" s="113"/>
      <c r="AA19" s="113"/>
      <c r="AB19" s="113"/>
      <c r="AC19" s="113"/>
      <c r="AD19" s="113"/>
      <c r="AE19" s="113"/>
      <c r="AF19" s="113"/>
      <c r="AG19" s="113"/>
    </row>
    <row r="20" spans="1:34" ht="13">
      <c r="A20" s="5" t="s">
        <v>17</v>
      </c>
      <c r="F20" s="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20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Z21" s="113"/>
      <c r="AA21" s="113"/>
      <c r="AB21" s="113" t="s">
        <v>74</v>
      </c>
      <c r="AC21" s="113"/>
      <c r="AD21" s="113"/>
      <c r="AE21" s="113"/>
      <c r="AF21" s="113"/>
      <c r="AG21" s="113"/>
    </row>
    <row r="22" spans="1:34">
      <c r="B22" s="113" t="s">
        <v>150</v>
      </c>
      <c r="F22" s="29"/>
      <c r="G22" s="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</row>
    <row r="23" spans="1:34">
      <c r="B23" s="6" t="s">
        <v>112</v>
      </c>
      <c r="F23" s="102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0">AC24*AD24</f>
        <v>1.006622709560113</v>
      </c>
      <c r="AE23" s="113"/>
      <c r="AF23" s="113"/>
      <c r="AG23" s="113"/>
    </row>
    <row r="24" spans="1:34">
      <c r="B24" s="113" t="s">
        <v>151</v>
      </c>
      <c r="F24" s="29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0"/>
        <v>1.0049629315732038</v>
      </c>
      <c r="AE24" s="113"/>
      <c r="AF24" s="113"/>
      <c r="AG24" s="113"/>
    </row>
    <row r="25" spans="1:34">
      <c r="B25" s="113" t="s">
        <v>152</v>
      </c>
      <c r="F25" s="29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0"/>
        <v>1.0033058903246372</v>
      </c>
      <c r="AE25" s="113"/>
      <c r="AF25" s="113"/>
      <c r="AG25" s="113"/>
    </row>
    <row r="26" spans="1:34">
      <c r="B26" s="6" t="s">
        <v>113</v>
      </c>
      <c r="F26" s="102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0"/>
        <v>1.0016515813019202</v>
      </c>
      <c r="AE26" s="113"/>
      <c r="AF26" s="113"/>
      <c r="AG26" s="113"/>
    </row>
    <row r="27" spans="1:34"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</row>
    <row r="28" spans="1:34" ht="13">
      <c r="A28" s="5" t="s">
        <v>153</v>
      </c>
      <c r="B28" s="5"/>
      <c r="F28" s="100">
        <f>F7</f>
        <v>0</v>
      </c>
      <c r="Z28" s="113"/>
      <c r="AA28" s="113">
        <v>7</v>
      </c>
      <c r="AB28" s="122">
        <f>1/((1+'KJ-vuosi'!$B$16)^((DAY('Virkamies 9'!$F$7))/360))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</row>
    <row r="29" spans="1:34" ht="13">
      <c r="B29" s="6" t="s">
        <v>103</v>
      </c>
      <c r="F29" s="101"/>
      <c r="Z29" s="113"/>
      <c r="AA29" s="113">
        <v>8</v>
      </c>
      <c r="AB29" s="122">
        <f>1/((1+'KJ-vuosi'!$B$16)^((DAY('Virkamies 9'!$F$7))/360))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</row>
    <row r="30" spans="1:34">
      <c r="B30" s="6" t="s">
        <v>104</v>
      </c>
      <c r="F30" s="29"/>
      <c r="Z30" s="113"/>
      <c r="AA30" s="113">
        <v>9</v>
      </c>
      <c r="AB30" s="122">
        <f>1/((1+'KJ-vuosi'!$B$16)^((DAY('Virkamies 9'!$F$7))/360))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</row>
    <row r="31" spans="1:34" ht="13">
      <c r="B31" s="6" t="s">
        <v>105</v>
      </c>
      <c r="F31" s="101"/>
      <c r="Z31" s="113"/>
      <c r="AA31" s="113">
        <v>10</v>
      </c>
      <c r="AB31" s="122">
        <f>1/((1+'KJ-vuosi'!$B$16)^((DAY('Virkamies 9'!$F$7))/360))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</row>
    <row r="32" spans="1:34">
      <c r="B32" s="6" t="s">
        <v>106</v>
      </c>
      <c r="F32" s="29"/>
      <c r="Z32" s="113"/>
      <c r="AA32" s="113">
        <v>11</v>
      </c>
      <c r="AB32" s="122">
        <f>1/((1+'KJ-vuosi'!$B$16)^((DAY('Virkamies 9'!$F$7))/360))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</row>
    <row r="33" spans="1:33" ht="13">
      <c r="B33" s="6" t="s">
        <v>107</v>
      </c>
      <c r="F33" s="101"/>
      <c r="Z33" s="113"/>
      <c r="AA33" s="113">
        <v>12</v>
      </c>
      <c r="AB33" s="122">
        <f>1/((1+'KJ-vuosi'!$B$16)^((DAY('Virkamies 9'!$F$7))/360))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</row>
    <row r="34" spans="1:33">
      <c r="B34" s="6" t="s">
        <v>108</v>
      </c>
      <c r="F34" s="29"/>
      <c r="Z34" s="113"/>
      <c r="AA34" s="113"/>
      <c r="AB34" s="113"/>
      <c r="AC34" s="113"/>
      <c r="AD34" s="113"/>
      <c r="AE34" s="113"/>
      <c r="AF34" s="113"/>
      <c r="AG34" s="113"/>
    </row>
    <row r="35" spans="1:33">
      <c r="Z35" s="113"/>
      <c r="AA35" s="113"/>
      <c r="AB35" s="113"/>
      <c r="AC35" s="113"/>
      <c r="AD35" s="113"/>
      <c r="AE35" s="113"/>
      <c r="AF35" s="113"/>
      <c r="AG35" s="113"/>
    </row>
    <row r="36" spans="1:33">
      <c r="A36" s="6" t="s">
        <v>27</v>
      </c>
      <c r="Z36" s="113"/>
      <c r="AA36" s="113"/>
      <c r="AB36" s="113"/>
      <c r="AC36" s="113"/>
      <c r="AD36" s="113"/>
      <c r="AE36" s="113"/>
      <c r="AF36" s="113"/>
      <c r="AG36" s="113"/>
    </row>
    <row r="37" spans="1:33">
      <c r="Z37" s="113"/>
      <c r="AA37" s="113"/>
      <c r="AB37" s="113"/>
      <c r="AC37" s="113"/>
      <c r="AD37" s="113"/>
      <c r="AE37" s="113"/>
      <c r="AF37" s="113"/>
      <c r="AG37" s="113"/>
    </row>
    <row r="38" spans="1:33" ht="18">
      <c r="A38" s="1" t="s">
        <v>28</v>
      </c>
      <c r="I38" s="13"/>
      <c r="Z38" s="113"/>
      <c r="AA38" s="113"/>
      <c r="AB38" s="113"/>
      <c r="AC38" s="113"/>
      <c r="AD38" s="113"/>
      <c r="AE38" s="113"/>
      <c r="AF38" s="113"/>
      <c r="AG38" s="113"/>
    </row>
    <row r="39" spans="1:33">
      <c r="I39" s="13"/>
      <c r="Z39" s="113"/>
      <c r="AA39" s="113"/>
      <c r="AB39" s="113"/>
      <c r="AC39" s="113"/>
      <c r="AD39" s="113"/>
      <c r="AE39" s="113"/>
      <c r="AF39" s="113"/>
      <c r="AG39" s="113"/>
    </row>
    <row r="40" spans="1:33">
      <c r="A40" s="6" t="s">
        <v>163</v>
      </c>
      <c r="D40" s="119">
        <f>IF(F6="",18,YEAR(F6)-(1900+MID(F5,5,2)))</f>
        <v>18</v>
      </c>
      <c r="I40" s="13"/>
      <c r="Z40" s="113"/>
      <c r="AA40" s="113"/>
      <c r="AB40" s="113"/>
      <c r="AC40" s="113"/>
      <c r="AD40" s="113"/>
      <c r="AE40" s="113"/>
      <c r="AF40" s="113"/>
      <c r="AG40" s="113"/>
    </row>
    <row r="41" spans="1:33">
      <c r="A41" s="113" t="s">
        <v>125</v>
      </c>
      <c r="D41" s="33" t="str">
        <f>+"1.7."&amp;TEXT('KJ-vuosi'!$B$3,0)</f>
        <v>1.7.2021</v>
      </c>
      <c r="I41" s="13"/>
    </row>
    <row r="42" spans="1:33">
      <c r="C42" s="32"/>
      <c r="I42" s="13"/>
    </row>
    <row r="43" spans="1:33" ht="13">
      <c r="A43" s="5" t="s">
        <v>8</v>
      </c>
      <c r="I43" s="13"/>
    </row>
    <row r="44" spans="1:33">
      <c r="C44" s="7" t="s">
        <v>14</v>
      </c>
      <c r="D44" s="7" t="s">
        <v>23</v>
      </c>
      <c r="E44" s="114" t="s">
        <v>119</v>
      </c>
      <c r="I44" s="13"/>
    </row>
    <row r="45" spans="1:33">
      <c r="C45" s="7" t="s">
        <v>9</v>
      </c>
      <c r="D45" s="9" t="s">
        <v>24</v>
      </c>
      <c r="E45" s="7" t="s">
        <v>26</v>
      </c>
      <c r="I45" s="13"/>
    </row>
    <row r="46" spans="1:33">
      <c r="C46" s="8"/>
      <c r="D46" s="9" t="s">
        <v>25</v>
      </c>
      <c r="E46" s="7" t="str">
        <f>+D41&amp;")"</f>
        <v>1.7.2021)</v>
      </c>
      <c r="I46" s="13"/>
    </row>
    <row r="47" spans="1:33">
      <c r="C47" s="8"/>
      <c r="E47" s="9"/>
      <c r="I47" s="13"/>
    </row>
    <row r="48" spans="1:33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9'!F$6</f>
        <v>0</v>
      </c>
      <c r="D50" s="11">
        <f>'Virkamies 9'!F$8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9'!$F$7),aika9,4))*(VLOOKUP(MONTH('Virkamies 9'!$F$7),aika9,2)),2)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9'!$F$12*12*VLOOKUP($D$40,IF(DAYS360('poa2021'!$B$1,$F$6)&gt;0,'poa2021'!$F$5:$I$57,vastuunjako),3)</f>
        <v>0</v>
      </c>
      <c r="D52" s="17">
        <f>C52*(1+0.031*((IF(DAY('Virkamies 9'!$F$8)=31,DAYS360('Virkamies 9'!$F$6,'Virkamies 9'!$F$8,TRUE)-1,DAYS360('Virkamies 9'!$F$6,'Virkamies 9'!$F$8,TRUE)))/360))</f>
        <v>0</v>
      </c>
      <c r="E52" s="25">
        <f>ROUND(D52*(VLOOKUP(MONTH('Virkamies 9'!$F$7),aika9,4))*(VLOOKUP(MONTH('Virkamies 9'!$F$7),aika9,2)),2)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9'!$F$12*12*VLOOKUP($D$40,IF(DAYS360('poa2021'!$B$1,$F$6)&gt;0,'poa2021'!$F$5:$I$57,vastuunjako),4)</f>
        <v>0</v>
      </c>
      <c r="D53" s="15">
        <f>C53*(1+0.031*((IF(DAY('Virkamies 9'!$F$8)=31,DAYS360('Virkamies 9'!$F$6,'Virkamies 9'!$F$8,TRUE)-1,DAYS360('Virkamies 9'!$F$6,'Virkamies 9'!$F$8,TRUE)))/360))</f>
        <v>0</v>
      </c>
      <c r="E53" s="26">
        <f>ROUND(D53*(VLOOKUP(MONTH('Virkamies 9'!$F$7),aika9,4))*(VLOOKUP(MONTH('Virkamies 9'!$F$7),aika9,2)),2)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9'!$F$12*12*VLOOKUP($D$40,IF(DAYS360('poa2021'!$B$1,$F$6)&gt;0,'poa2021'!$B$5:$C$57,perusturva),2)</f>
        <v>0</v>
      </c>
      <c r="D54" s="32">
        <f>C54*(1+0.031*((IF(DAY('Virkamies 9'!$F$8)=31,DAYS360('Virkamies 9'!$F$6,'Virkamies 9'!$F$8,TRUE)-1,DAYS360('Virkamies 9'!$F$6,'Virkamies 9'!$F$8,TRUE)))/360))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9'!$F$14*12*VLOOKUP($D$40,IF(DAYS360('poa2021'!B1,F6)&gt;0,'poa2021'!B5:C57,perusturva),2))*(1+0.031*((IF(DAY('Virkamies 9'!$F$8)=31,DAYS360('Virkamies 9'!$F$6,'Virkamies 9'!$F$8,TRUE)-1,DAYS360('Virkamies 9'!$F$6,'Virkamies 9'!$F$8,TRUE)))/360))*(VLOOKUP(MONTH('Virkamies 9'!$F$7),aika1,4))*(VLOOKUP(MONTH('Virkamies 9'!$F$7),aika1,2))),2)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9'!F$6</f>
        <v>0</v>
      </c>
      <c r="D58" s="11">
        <f>'Virkamies 9'!F$8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9'!$F$7),aika9,4))*(VLOOKUP(MONTH('Virkamies 9'!$F$7),aika9,2)),2)</f>
        <v>0</v>
      </c>
    </row>
    <row r="60" spans="1:9">
      <c r="A60" s="10" t="s">
        <v>2</v>
      </c>
      <c r="C60" s="17">
        <f>'Virkamies 9'!$F$13*12*VLOOKUP($D$40,IF(DAYS360('poa2021'!$B$1,$F$6)&gt;0,'poa2021'!$F$5:$I$57,vastuunjako),3)</f>
        <v>0</v>
      </c>
      <c r="D60" s="83">
        <f>C60*(1+0.031*((IF(DAY('Virkamies 9'!$F$8)=31,DAYS360('Virkamies 9'!$F$6,'Virkamies 9'!$F$8,TRUE)-1,DAYS360('Virkamies 9'!$F$6,'Virkamies 9'!$F$8,TRUE)))/360))</f>
        <v>0</v>
      </c>
      <c r="E60" s="84">
        <f>ROUND(D60*(VLOOKUP(MONTH('Virkamies 9'!$F$7),aika9,4))*(VLOOKUP(MONTH('Virkamies 9'!$F$7),aika9,2)),2)</f>
        <v>0</v>
      </c>
    </row>
    <row r="61" spans="1:9">
      <c r="A61" s="14" t="s">
        <v>3</v>
      </c>
      <c r="B61" s="28"/>
      <c r="C61" s="15">
        <f>'Virkamies 9'!$F$13*12*VLOOKUP($D$40,IF(DAYS360('poa2021'!$B$1,$F$6)&gt;0,'poa2021'!$F$5:$I$57,vastuunjako),4)</f>
        <v>0</v>
      </c>
      <c r="D61" s="85">
        <f>C61*(1+0.031*((IF(DAY('Virkamies 9'!$F$8)=31,DAYS360('Virkamies 9'!$F$6,'Virkamies 9'!$F$8,TRUE)-1,DAYS360('Virkamies 9'!$F$6,'Virkamies 9'!$F$8,TRUE)))/360))</f>
        <v>0</v>
      </c>
      <c r="E61" s="86">
        <f>ROUND(D61*(VLOOKUP(MONTH('Virkamies 9'!$F$7),aika9,4))*(VLOOKUP(MONTH('Virkamies 9'!$F$7),aika9,2)),2)</f>
        <v>0</v>
      </c>
    </row>
    <row r="62" spans="1:9">
      <c r="A62" s="6" t="s">
        <v>10</v>
      </c>
      <c r="C62" s="32">
        <f>'Virkamies 9'!$F$13*12*VLOOKUP($D$40,IF(DAYS360('poa2021'!$B$1,$F$6)&gt;0,'poa2021'!$B$5:$C$57,perusturva),2)</f>
        <v>0</v>
      </c>
      <c r="D62" s="13">
        <f>C62*(1+0.031*((IF(DAY('Virkamies 9'!$F$8)=31,DAYS360('Virkamies 9'!$F$6,'Virkamies 9'!$F$8,TRUE)-1,DAYS360('Virkamies 9'!$F$6,'Virkamies 9'!$F$8,TRUE)))/360))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1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1" ht="13">
      <c r="A66" s="5"/>
      <c r="C66" s="11">
        <f>'Virkamies 9'!F$6</f>
        <v>0</v>
      </c>
      <c r="D66" s="11">
        <f>'Virkamies 9'!F$8</f>
        <v>0</v>
      </c>
      <c r="E66" s="21" t="str">
        <f>$D$41</f>
        <v>1.7.2021</v>
      </c>
      <c r="G66" s="7" t="s">
        <v>62</v>
      </c>
    </row>
    <row r="67" spans="1:11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9'!$F$7),aikaYEL9,4))*(VLOOKUP(MONTH('Virkamies 9'!$F$7),aikaYEL9,2)),2)</f>
        <v>0</v>
      </c>
      <c r="G67" s="7" t="s">
        <v>63</v>
      </c>
    </row>
    <row r="68" spans="1:11">
      <c r="A68" s="10" t="s">
        <v>2</v>
      </c>
      <c r="C68" s="17">
        <f>'Virkamies 9'!$F$15*12*VLOOKUP($D$40,IF(DAYS360('poa2021'!$B$1,$F$6)&gt;0,'poa2021'!$F$5:$I$57,vastuunjako),3)</f>
        <v>0</v>
      </c>
      <c r="D68" s="17">
        <f>C68*(1+0.031*((IF(DAY('Virkamies 9'!$F$8)=31,DAYS360('Virkamies 9'!$F$6,'Virkamies 9'!$F$8,TRUE)-1,DAYS360('Virkamies 9'!$F$6,'Virkamies 9'!$F$8,TRUE)))/360))</f>
        <v>0</v>
      </c>
      <c r="E68" s="84">
        <f>ROUND(D68*(VLOOKUP(MONTH('Virkamies 9'!$F$7),aikaYEL9,4))*(VLOOKUP(MONTH('Virkamies 9'!$F$7),aikaYEL9,2)),2)</f>
        <v>0</v>
      </c>
      <c r="G68" s="13">
        <f>E68</f>
        <v>0</v>
      </c>
    </row>
    <row r="69" spans="1:11">
      <c r="A69" s="14" t="s">
        <v>3</v>
      </c>
      <c r="B69" s="28"/>
      <c r="C69" s="15">
        <f>'Virkamies 9'!$F$15*12*VLOOKUP($D$40,IF(DAYS360('poa2021'!$B$1,$F$6)&gt;0,'poa2021'!$F$5:$I$57,vastuunjako),4)</f>
        <v>0</v>
      </c>
      <c r="D69" s="15">
        <f>C69*(1+0.031*((IF(DAY('Virkamies 9'!$F$8)=31,DAYS360('Virkamies 9'!$F$6,'Virkamies 9'!$F$8,TRUE)-1,DAYS360('Virkamies 9'!$F$6,'Virkamies 9'!$F$8,TRUE)))/360))</f>
        <v>0</v>
      </c>
      <c r="E69" s="86">
        <f>ROUND(D69*(VLOOKUP(MONTH('Virkamies 9'!$F$7),aikaYEL9,4))*(VLOOKUP(MONTH('Virkamies 9'!$F$7),aikaYEL9,2)),2)</f>
        <v>0</v>
      </c>
      <c r="G69" s="15">
        <f>E69</f>
        <v>0</v>
      </c>
    </row>
    <row r="70" spans="1:11" ht="13">
      <c r="A70" s="6" t="s">
        <v>10</v>
      </c>
      <c r="C70" s="32">
        <f>'Virkamies 9'!$F$15*12*VLOOKUP($D$40,IF(DAYS360('poa2021'!$B$1,$F$6)&gt;0,'poa2021'!$B$5:$C$57,perusturva),2)</f>
        <v>0</v>
      </c>
      <c r="D70" s="83">
        <f>C70*(1+0.031*((IF(DAY('Virkamies 9'!$F$8)=31,DAYS360('Virkamies 9'!$F$6,'Virkamies 9'!$F$8,TRUE)-1,DAYS360('Virkamies 9'!$F$6,'Virkamies 9'!$F$8,TRUE)))/360))</f>
        <v>0</v>
      </c>
      <c r="E70" s="83">
        <f>SUM(E67:E69)</f>
        <v>0</v>
      </c>
      <c r="F70" s="52"/>
      <c r="G70" s="44">
        <f>SUM(G68:G69)</f>
        <v>0</v>
      </c>
    </row>
    <row r="71" spans="1:11">
      <c r="C71" s="10"/>
      <c r="G71" s="16"/>
    </row>
    <row r="72" spans="1:11" ht="13">
      <c r="A72" s="5" t="s">
        <v>4</v>
      </c>
      <c r="C72" s="13"/>
      <c r="G72" s="16"/>
    </row>
    <row r="73" spans="1:11" ht="13">
      <c r="A73" s="5"/>
      <c r="C73" s="7" t="s">
        <v>15</v>
      </c>
      <c r="D73" s="7" t="s">
        <v>15</v>
      </c>
      <c r="E73" s="7" t="s">
        <v>15</v>
      </c>
      <c r="G73" s="16"/>
    </row>
    <row r="74" spans="1:11" ht="13">
      <c r="A74" s="5"/>
      <c r="C74" s="11">
        <f>'Virkamies 9'!F$6</f>
        <v>0</v>
      </c>
      <c r="D74" s="11">
        <f>'Virkamies 9'!F$8</f>
        <v>0</v>
      </c>
      <c r="E74" s="21" t="str">
        <f>$D$41</f>
        <v>1.7.2021</v>
      </c>
      <c r="G74" s="16"/>
    </row>
    <row r="75" spans="1:11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9'!$F$7),aika9,4))*(VLOOKUP(MONTH('Virkamies 9'!$F$7),aika9,2)),2)</f>
        <v>0</v>
      </c>
      <c r="G75" s="16"/>
    </row>
    <row r="76" spans="1:11" ht="13">
      <c r="A76" s="10" t="s">
        <v>2</v>
      </c>
      <c r="C76" s="17">
        <f>'Virkamies 9'!$F$16*12*VLOOKUP($D$40,IF(DAYS360('poa2021'!$B$1,$F$6)&gt;0,'poa2021'!$F$5:$I$57,vastuunjako),3)</f>
        <v>0</v>
      </c>
      <c r="D76" s="17">
        <f>C76*(1+0.031*((IF(DAY('Virkamies 9'!$F$8)=31,DAYS360('Virkamies 9'!$F$6,'Virkamies 9'!$F$8,TRUE)-1,DAYS360('Virkamies 9'!$F$6,'Virkamies 9'!$F$8,TRUE)))/360))</f>
        <v>0</v>
      </c>
      <c r="E76" s="24">
        <f>ROUND(D76*(VLOOKUP(MONTH('Virkamies 9'!$F$7),aika9,4))*(VLOOKUP(MONTH('Virkamies 9'!$F$7),aika9,2)),2)</f>
        <v>0</v>
      </c>
      <c r="G76" s="16"/>
    </row>
    <row r="77" spans="1:11" ht="13">
      <c r="A77" s="14" t="s">
        <v>3</v>
      </c>
      <c r="B77" s="28"/>
      <c r="C77" s="15">
        <f>'Virkamies 9'!$F$16*12*VLOOKUP($D$40,IF(DAYS360('poa2021'!$B$1,$F$6)&gt;0,'poa2021'!$F$5:$I$57,vastuunjako),4)</f>
        <v>0</v>
      </c>
      <c r="D77" s="15">
        <f>C77*(1+0.031*((IF(DAY('Virkamies 9'!$F$8)=31,DAYS360('Virkamies 9'!$F$6,'Virkamies 9'!$F$8,TRUE)-1,DAYS360('Virkamies 9'!$F$6,'Virkamies 9'!$F$8,TRUE)))/360))</f>
        <v>0</v>
      </c>
      <c r="E77" s="90">
        <f>ROUND(D77*(VLOOKUP(MONTH('Virkamies 9'!$F$7),aika9,4))*(VLOOKUP(MONTH('Virkamies 9'!$F$7),aika9,2)),2)</f>
        <v>0</v>
      </c>
      <c r="G77" s="16"/>
    </row>
    <row r="78" spans="1:11">
      <c r="A78" s="6" t="s">
        <v>10</v>
      </c>
      <c r="C78" s="32">
        <f>'Virkamies 9'!$F$16*12*VLOOKUP($D$40,IF(DAYS360('poa2021'!$B$1,$F$6)&gt;0,'poa2021'!$B$5:$C$57,perusturva),2)</f>
        <v>0</v>
      </c>
      <c r="D78" s="17">
        <f>C78*(1+0.031*((IF(DAY('Virkamies 9'!$F$8)=31,DAYS360('Virkamies 9'!$F$6,'Virkamies 9'!$F$8,TRUE)-1,DAYS360('Virkamies 9'!$F$6,'Virkamies 9'!$F$8,TRUE)))/360))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1">
      <c r="C79" s="17"/>
      <c r="D79" s="17"/>
      <c r="E79" s="17"/>
      <c r="G79" s="16"/>
      <c r="H79" s="12"/>
      <c r="I79" s="6" t="s">
        <v>111</v>
      </c>
    </row>
    <row r="80" spans="1:11" ht="13">
      <c r="A80" s="89" t="s">
        <v>155</v>
      </c>
      <c r="B80" s="34"/>
      <c r="C80" s="83">
        <f>'Virkamies 9'!$F$21*12*VLOOKUP($D$40,IF(DAYS360('poa2021'!$B$1,$F$6)&gt;0,'poa2021'!$B$62:$E$114,lisäturva),2)+'Virkamies 9'!$F$22*12*VLOOKUP($D$40,IF(DAYS360('poa2021'!$B$1,$F$6)&gt;0,'poa2021'!$B$62:$E$114,lisäturva),IF('Virkamies 9'!$F$23="LL",3,4))</f>
        <v>0</v>
      </c>
      <c r="D80" s="83">
        <f>C80*(1+0.031*((IF(DAY('Virkamies 9'!$F$8)=31,DAYS360('Virkamies 9'!$F$6,'Virkamies 9'!$F$8,TRUE)-1,DAYS360('Virkamies 9'!$F$6,'Virkamies 9'!$F$8,TRUE)))/360))</f>
        <v>0</v>
      </c>
      <c r="E80" s="91">
        <f>ROUND(D80*(VLOOKUP(MONTH('Virkamies 9'!$F$7),aika9,4))*(VLOOKUP(MONTH('Virkamies 9'!$F$7),aika9,2)),2)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</row>
    <row r="81" spans="1:11">
      <c r="A81" s="92"/>
      <c r="B81" s="34"/>
      <c r="C81" s="83"/>
      <c r="D81" s="34"/>
      <c r="E81" s="34"/>
      <c r="G81" s="13"/>
      <c r="K81" s="34"/>
    </row>
    <row r="82" spans="1:11" ht="13">
      <c r="A82" s="89" t="s">
        <v>156</v>
      </c>
      <c r="B82" s="34"/>
      <c r="C82" s="83">
        <f>'Virkamies 9'!$F$24*12*VLOOKUP($D$40,IF(DAYS360('poa2021'!$B$1,$F$6)&gt;0,'poa2021'!$B$62:$E$114,lisäturva),2)+'Virkamies 9'!$F$25*12*VLOOKUP($D$40,IF(DAYS360('poa2021'!$B$1,$F$6)&gt;0,'poa2021'!$B$62:$E$114,lisäturva),IF('Virkamies 9'!$F$26="LL",3,4))</f>
        <v>0</v>
      </c>
      <c r="D82" s="83">
        <f>C82*(1+0.031*((IF(DAY('Virkamies 9'!$F$8)=31,DAYS360('Virkamies 9'!$F$6,'Virkamies 9'!$F$8,TRUE)-1,DAYS360('Virkamies 9'!$F$6,'Virkamies 9'!$F$8,TRUE)))/360))</f>
        <v>0</v>
      </c>
      <c r="E82" s="91">
        <f>ROUND(D82*(VLOOKUP(MONTH('Virkamies 9'!$F$7),aikaYEL9,4))*(VLOOKUP(MONTH('Virkamies 9'!$F$7),aikaYEL9,2)),2)</f>
        <v>0</v>
      </c>
      <c r="G82" s="81"/>
      <c r="K82" s="34"/>
    </row>
    <row r="83" spans="1:11" ht="13">
      <c r="A83" s="34"/>
      <c r="B83" s="34"/>
      <c r="C83" s="83"/>
      <c r="D83" s="83"/>
      <c r="E83" s="87"/>
      <c r="F83" s="88"/>
      <c r="G83" s="83"/>
      <c r="H83" s="34"/>
      <c r="I83" s="32"/>
    </row>
    <row r="84" spans="1:11" ht="13">
      <c r="A84" s="89" t="s">
        <v>70</v>
      </c>
      <c r="B84" s="34"/>
      <c r="C84" s="13">
        <f>'Virkamies 9'!$F$17*12*VLOOKUP($D$40,IF(DAYS360('poa2021'!$B$1,$F$6)&gt;0,'poa2021'!$B$5:$C$57,perusturva),2)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9'!$F$7),aika9,4))*(VLOOKUP(MONTH('Virkamies 9'!$F$7),aika9,2)),2)</f>
        <v>0</v>
      </c>
      <c r="F84" s="88"/>
      <c r="G84" s="83"/>
      <c r="H84" s="34"/>
      <c r="I84" s="32"/>
    </row>
    <row r="85" spans="1:11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</row>
    <row r="86" spans="1:11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</row>
    <row r="87" spans="1:11" s="34" customFormat="1">
      <c r="A87" s="6"/>
      <c r="B87" s="6"/>
      <c r="C87" s="6"/>
      <c r="D87" s="6"/>
      <c r="E87" s="6"/>
      <c r="F87" s="6"/>
      <c r="G87" s="6"/>
      <c r="H87" s="6"/>
      <c r="I87" s="6"/>
    </row>
    <row r="92" spans="1:11">
      <c r="B92" s="10"/>
      <c r="C92" s="34"/>
    </row>
    <row r="93" spans="1:11">
      <c r="C93" s="3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15"/>
  <dimension ref="A1:AH87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1796875" style="6"/>
    <col min="9" max="9" width="11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AA1" s="113"/>
      <c r="AB1" s="113" t="s">
        <v>22</v>
      </c>
      <c r="AC1" s="114" t="s">
        <v>20</v>
      </c>
      <c r="AD1" s="113" t="s">
        <v>21</v>
      </c>
      <c r="AE1" s="113"/>
      <c r="AH1" s="20" t="str">
        <f>LEFT(F5,2)&amp;"."&amp;MID(F5,3,2)&amp;".19"&amp;MID(F5,5,2)</f>
        <v>..19</v>
      </c>
    </row>
    <row r="2" spans="1:34" ht="18">
      <c r="A2" s="56"/>
      <c r="B2" s="54"/>
      <c r="D2" s="55"/>
      <c r="AA2" s="113"/>
      <c r="AB2" s="113"/>
      <c r="AC2" s="113"/>
      <c r="AD2" s="113"/>
      <c r="AE2" s="113"/>
    </row>
    <row r="3" spans="1:34" ht="13">
      <c r="A3" s="5" t="s">
        <v>19</v>
      </c>
      <c r="D3" s="13"/>
      <c r="AA3" s="113">
        <v>1</v>
      </c>
      <c r="AB3" s="122">
        <f>(1+'KJ-vuosi'!B4)^((31-DAY($F$7))/360)</f>
        <v>1.001706680964418</v>
      </c>
      <c r="AC3" s="113">
        <f>(1+'KJ-vuosi'!B4)^(1/12)</f>
        <v>1.0016515813019202</v>
      </c>
      <c r="AD3" s="113">
        <f>AC4*AD4</f>
        <v>1.0082852288053108</v>
      </c>
      <c r="AE3" s="113"/>
    </row>
    <row r="4" spans="1:34" ht="13">
      <c r="A4" s="5"/>
      <c r="B4" s="6" t="s">
        <v>30</v>
      </c>
      <c r="F4" s="37"/>
      <c r="AA4" s="113">
        <v>2</v>
      </c>
      <c r="AB4" s="122">
        <f>(1+'KJ-vuosi'!B5)^((31-DAY($F$7))/360)</f>
        <v>1.001706680964418</v>
      </c>
      <c r="AC4" s="113">
        <f>(1+'KJ-vuosi'!B5)^(1/12)</f>
        <v>1.0016515813019202</v>
      </c>
      <c r="AD4" s="113">
        <f>AC5*AD5</f>
        <v>1.006622709560113</v>
      </c>
      <c r="AE4" s="113"/>
    </row>
    <row r="5" spans="1:34">
      <c r="B5" s="6" t="s">
        <v>5</v>
      </c>
      <c r="F5" s="102"/>
      <c r="AA5" s="113">
        <v>3</v>
      </c>
      <c r="AB5" s="122">
        <f>(1+'KJ-vuosi'!B6)^((31-DAY($F$7))/360)</f>
        <v>1.001706680964418</v>
      </c>
      <c r="AC5" s="113">
        <f>(1+'KJ-vuosi'!B6)^(1/12)</f>
        <v>1.0016515813019202</v>
      </c>
      <c r="AD5" s="113">
        <f>AC6*AD6</f>
        <v>1.0049629315732038</v>
      </c>
      <c r="AE5" s="113"/>
    </row>
    <row r="6" spans="1:34">
      <c r="B6" s="6" t="s">
        <v>6</v>
      </c>
      <c r="F6" s="30"/>
      <c r="AA6" s="113">
        <v>4</v>
      </c>
      <c r="AB6" s="122">
        <f>(1+'KJ-vuosi'!B7)^((31-DAY($F$7))/360)</f>
        <v>1.001706680964418</v>
      </c>
      <c r="AC6" s="113">
        <f>(1+'KJ-vuosi'!B7)^(1/12)</f>
        <v>1.0016515813019202</v>
      </c>
      <c r="AD6" s="113">
        <f>AC7*AD7</f>
        <v>1.0033058903246372</v>
      </c>
      <c r="AE6" s="113"/>
    </row>
    <row r="7" spans="1:34">
      <c r="B7" s="6" t="s">
        <v>0</v>
      </c>
      <c r="F7" s="31"/>
      <c r="AA7" s="113">
        <v>5</v>
      </c>
      <c r="AB7" s="122">
        <f>(1+'KJ-vuosi'!B8)^((31-DAY($F$7))/360)</f>
        <v>1.001706680964418</v>
      </c>
      <c r="AC7" s="113">
        <f>(1+'KJ-vuosi'!B8)^(1/12)</f>
        <v>1.0016515813019202</v>
      </c>
      <c r="AD7" s="113">
        <f>AC8</f>
        <v>1.0016515813019202</v>
      </c>
      <c r="AE7" s="113"/>
    </row>
    <row r="8" spans="1:34">
      <c r="B8" s="6" t="s">
        <v>18</v>
      </c>
      <c r="F8" s="30"/>
      <c r="AA8" s="113">
        <v>6</v>
      </c>
      <c r="AB8" s="122">
        <f>(1+'KJ-vuosi'!B9)^((31-DAY($F$7))/360)</f>
        <v>1.001706680964418</v>
      </c>
      <c r="AC8" s="113">
        <f>(1+'KJ-vuosi'!B9)^(1/12)</f>
        <v>1.0016515813019202</v>
      </c>
      <c r="AD8" s="113">
        <v>1</v>
      </c>
      <c r="AE8" s="113"/>
    </row>
    <row r="9" spans="1:34">
      <c r="F9" s="32"/>
      <c r="AA9" s="113">
        <v>7</v>
      </c>
      <c r="AB9" s="122">
        <f>1/((1+'KJ-vuosi'!B10)^((DAY('Virkamies 10'!$F$7))/360))</f>
        <v>1</v>
      </c>
      <c r="AC9" s="113">
        <f>(1+'KJ-vuosi'!B10)^(-1/12)</f>
        <v>0.99835114192125218</v>
      </c>
      <c r="AD9" s="113">
        <v>1</v>
      </c>
      <c r="AE9" s="113"/>
    </row>
    <row r="10" spans="1:34" ht="13">
      <c r="A10" s="5" t="s">
        <v>7</v>
      </c>
      <c r="F10" s="32"/>
      <c r="AA10" s="113">
        <v>8</v>
      </c>
      <c r="AB10" s="122">
        <f>1/((1+'KJ-vuosi'!B11)^((DAY('Virkamies 10'!$F$7))/360))</f>
        <v>1</v>
      </c>
      <c r="AC10" s="113">
        <f>(1+'KJ-vuosi'!B11)^(-1/12)</f>
        <v>0.99835114192125218</v>
      </c>
      <c r="AD10" s="113">
        <f>AC9</f>
        <v>0.99835114192125218</v>
      </c>
      <c r="AE10" s="113"/>
    </row>
    <row r="11" spans="1:34" ht="13">
      <c r="A11" s="5" t="s">
        <v>17</v>
      </c>
      <c r="F11" s="32"/>
      <c r="AA11" s="113">
        <v>9</v>
      </c>
      <c r="AB11" s="122">
        <f>1/((1+'KJ-vuosi'!B12)^((DAY('Virkamies 10'!$F$7))/360))</f>
        <v>1</v>
      </c>
      <c r="AC11" s="113">
        <f>(1+'KJ-vuosi'!B12)^(-1/12)</f>
        <v>0.99835114192125218</v>
      </c>
      <c r="AD11" s="113">
        <f>AD10*AC10</f>
        <v>0.99670500257546824</v>
      </c>
      <c r="AE11" s="113"/>
    </row>
    <row r="12" spans="1:34">
      <c r="B12" s="113" t="s">
        <v>120</v>
      </c>
      <c r="F12" s="29"/>
      <c r="G12" s="13"/>
      <c r="AA12" s="113">
        <v>10</v>
      </c>
      <c r="AB12" s="122">
        <f>1/((1+'KJ-vuosi'!B13)^((DAY('Virkamies 10'!$F$7))/360))</f>
        <v>1</v>
      </c>
      <c r="AC12" s="113">
        <f>(1+'KJ-vuosi'!B13)^(-1/12)</f>
        <v>0.99835114192125218</v>
      </c>
      <c r="AD12" s="113">
        <f>AD11*AC11</f>
        <v>0.99506157747984336</v>
      </c>
      <c r="AE12" s="113"/>
    </row>
    <row r="13" spans="1:34">
      <c r="B13" s="6" t="s">
        <v>42</v>
      </c>
      <c r="F13" s="29"/>
      <c r="AA13" s="113">
        <v>11</v>
      </c>
      <c r="AB13" s="122">
        <f>1/((1+'KJ-vuosi'!B14)^((DAY('Virkamies 10'!$F$7))/360))</f>
        <v>1</v>
      </c>
      <c r="AC13" s="113">
        <f>(1+'KJ-vuosi'!B14)^(-1/12)</f>
        <v>0.99835114192125218</v>
      </c>
      <c r="AD13" s="113">
        <f>AD12*AC12</f>
        <v>0.99342086215896419</v>
      </c>
      <c r="AE13" s="113"/>
    </row>
    <row r="14" spans="1:34">
      <c r="B14" s="6" t="s">
        <v>92</v>
      </c>
      <c r="F14" s="29"/>
      <c r="AA14" s="113">
        <v>12</v>
      </c>
      <c r="AB14" s="122">
        <f>1/((1+'KJ-vuosi'!B15)^((DAY('Virkamies 10'!$F$7))/360))</f>
        <v>1</v>
      </c>
      <c r="AC14" s="113">
        <f>(1+'KJ-vuosi'!B15)^(-1/12)</f>
        <v>0.99835114192125218</v>
      </c>
      <c r="AD14" s="113">
        <f>AD13*AC13</f>
        <v>0.99178285214479678</v>
      </c>
      <c r="AE14" s="113"/>
    </row>
    <row r="15" spans="1:34">
      <c r="B15" s="6" t="s">
        <v>43</v>
      </c>
      <c r="F15" s="29"/>
      <c r="AA15" s="113"/>
      <c r="AB15" s="113"/>
      <c r="AC15" s="113"/>
      <c r="AD15" s="113"/>
      <c r="AE15" s="113"/>
    </row>
    <row r="16" spans="1:34">
      <c r="B16" s="6" t="s">
        <v>44</v>
      </c>
      <c r="F16" s="29"/>
      <c r="AA16" s="113"/>
      <c r="AB16" s="113"/>
      <c r="AC16" s="113"/>
      <c r="AD16" s="113"/>
      <c r="AE16" s="113"/>
    </row>
    <row r="17" spans="1:34">
      <c r="B17" s="6" t="s">
        <v>69</v>
      </c>
      <c r="F17" s="29"/>
      <c r="AA17" s="113"/>
      <c r="AB17" s="113"/>
      <c r="AC17" s="113"/>
      <c r="AD17" s="113"/>
      <c r="AE17" s="113"/>
    </row>
    <row r="18" spans="1:34">
      <c r="F18" s="13"/>
      <c r="AA18" s="113"/>
      <c r="AB18" s="113"/>
      <c r="AC18" s="113"/>
      <c r="AD18" s="113"/>
      <c r="AE18" s="113"/>
    </row>
    <row r="19" spans="1:34" ht="13">
      <c r="A19" s="5" t="s">
        <v>154</v>
      </c>
      <c r="F19" s="13"/>
      <c r="AA19" s="113"/>
      <c r="AB19" s="113"/>
      <c r="AC19" s="113"/>
      <c r="AD19" s="113"/>
      <c r="AE19" s="113"/>
    </row>
    <row r="20" spans="1:34" ht="13">
      <c r="A20" s="5" t="s">
        <v>17</v>
      </c>
      <c r="F20" s="13"/>
      <c r="AA20" s="113"/>
      <c r="AB20" s="113" t="s">
        <v>73</v>
      </c>
      <c r="AC20" s="113" t="s">
        <v>20</v>
      </c>
      <c r="AD20" s="113" t="s">
        <v>21</v>
      </c>
      <c r="AE20" s="113"/>
      <c r="AH20" s="20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AA21" s="113"/>
      <c r="AB21" s="113" t="s">
        <v>74</v>
      </c>
      <c r="AC21" s="113"/>
      <c r="AD21" s="113"/>
      <c r="AE21" s="113"/>
    </row>
    <row r="22" spans="1:34">
      <c r="B22" s="113" t="s">
        <v>150</v>
      </c>
      <c r="F22" s="29"/>
      <c r="G22" s="13"/>
      <c r="Z22" s="6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</row>
    <row r="23" spans="1:34">
      <c r="B23" s="6" t="s">
        <v>112</v>
      </c>
      <c r="F23" s="102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>AC24*AD24</f>
        <v>1.006622709560113</v>
      </c>
      <c r="AE23" s="113"/>
    </row>
    <row r="24" spans="1:34">
      <c r="B24" s="113" t="s">
        <v>151</v>
      </c>
      <c r="F24" s="29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>AC25*AD25</f>
        <v>1.0049629315732038</v>
      </c>
      <c r="AE24" s="113"/>
    </row>
    <row r="25" spans="1:34">
      <c r="B25" s="113" t="s">
        <v>152</v>
      </c>
      <c r="F25" s="29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>AC26*AD26</f>
        <v>1.0033058903246372</v>
      </c>
      <c r="AE25" s="113"/>
    </row>
    <row r="26" spans="1:34">
      <c r="B26" s="6" t="s">
        <v>113</v>
      </c>
      <c r="F26" s="102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>AC27</f>
        <v>1.0016515813019202</v>
      </c>
      <c r="AE26" s="113"/>
    </row>
    <row r="27" spans="1:34"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</row>
    <row r="28" spans="1:34" ht="13">
      <c r="A28" s="5" t="s">
        <v>153</v>
      </c>
      <c r="B28" s="5"/>
      <c r="F28" s="100">
        <f>F7</f>
        <v>0</v>
      </c>
      <c r="AA28" s="113">
        <v>7</v>
      </c>
      <c r="AB28" s="122">
        <f>1/((1+'KJ-vuosi'!$B$16)^((DAY('Virkamies 10'!$F$7))/360))</f>
        <v>1</v>
      </c>
      <c r="AC28" s="113">
        <f>+(1+'KJ-vuosi'!B16)^(-1/12)</f>
        <v>0.99835114192125218</v>
      </c>
      <c r="AD28" s="113">
        <v>1</v>
      </c>
      <c r="AE28" s="113"/>
    </row>
    <row r="29" spans="1:34" ht="13">
      <c r="B29" s="6" t="s">
        <v>103</v>
      </c>
      <c r="F29" s="101"/>
      <c r="AA29" s="113">
        <v>8</v>
      </c>
      <c r="AB29" s="122">
        <f>1/((1+'KJ-vuosi'!$B$16)^((DAY('Virkamies 10'!$F$7))/360))</f>
        <v>1</v>
      </c>
      <c r="AC29" s="113">
        <f>+(1+'KJ-vuosi'!B16)^(-1/12)</f>
        <v>0.99835114192125218</v>
      </c>
      <c r="AD29" s="113">
        <f>AC28</f>
        <v>0.99835114192125218</v>
      </c>
      <c r="AE29" s="113"/>
    </row>
    <row r="30" spans="1:34">
      <c r="B30" s="6" t="s">
        <v>104</v>
      </c>
      <c r="F30" s="29"/>
      <c r="AA30" s="113">
        <v>9</v>
      </c>
      <c r="AB30" s="122">
        <f>1/((1+'KJ-vuosi'!$B$16)^((DAY('Virkamies 10'!$F$7))/360))</f>
        <v>1</v>
      </c>
      <c r="AC30" s="113">
        <f>+(1+'KJ-vuosi'!B16)^(-1/12)</f>
        <v>0.99835114192125218</v>
      </c>
      <c r="AD30" s="113">
        <f>AD29*AC29</f>
        <v>0.99670500257546824</v>
      </c>
      <c r="AE30" s="113"/>
    </row>
    <row r="31" spans="1:34" ht="13">
      <c r="B31" s="6" t="s">
        <v>105</v>
      </c>
      <c r="F31" s="101"/>
      <c r="AA31" s="113">
        <v>10</v>
      </c>
      <c r="AB31" s="122">
        <f>1/((1+'KJ-vuosi'!$B$16)^((DAY('Virkamies 10'!$F$7))/360))</f>
        <v>1</v>
      </c>
      <c r="AC31" s="113">
        <f>+(1+'KJ-vuosi'!B16)^(-1/12)</f>
        <v>0.99835114192125218</v>
      </c>
      <c r="AD31" s="113">
        <f>AD30*AC30</f>
        <v>0.99506157747984336</v>
      </c>
      <c r="AE31" s="113"/>
    </row>
    <row r="32" spans="1:34">
      <c r="B32" s="6" t="s">
        <v>106</v>
      </c>
      <c r="F32" s="29"/>
      <c r="AA32" s="113">
        <v>11</v>
      </c>
      <c r="AB32" s="122">
        <f>1/((1+'KJ-vuosi'!$B$16)^((DAY('Virkamies 10'!$F$7))/360))</f>
        <v>1</v>
      </c>
      <c r="AC32" s="113">
        <f>+(1+'KJ-vuosi'!B16)^(-1/12)</f>
        <v>0.99835114192125218</v>
      </c>
      <c r="AD32" s="113">
        <f>AD31*AC31</f>
        <v>0.99342086215896419</v>
      </c>
      <c r="AE32" s="113"/>
    </row>
    <row r="33" spans="1:31" ht="13">
      <c r="B33" s="6" t="s">
        <v>107</v>
      </c>
      <c r="F33" s="101"/>
      <c r="AA33" s="113">
        <v>12</v>
      </c>
      <c r="AB33" s="122">
        <f>1/((1+'KJ-vuosi'!$B$16)^((DAY('Virkamies 10'!$F$7))/360))</f>
        <v>1</v>
      </c>
      <c r="AC33" s="113">
        <f>+(1+'KJ-vuosi'!B16)^(-1/12)</f>
        <v>0.99835114192125218</v>
      </c>
      <c r="AD33" s="113">
        <f>AD32*AC32</f>
        <v>0.99178285214479678</v>
      </c>
      <c r="AE33" s="113"/>
    </row>
    <row r="34" spans="1:31">
      <c r="B34" s="6" t="s">
        <v>108</v>
      </c>
      <c r="F34" s="29"/>
    </row>
    <row r="36" spans="1:31">
      <c r="A36" s="6" t="s">
        <v>27</v>
      </c>
    </row>
    <row r="38" spans="1:31" ht="18">
      <c r="A38" s="1" t="s">
        <v>28</v>
      </c>
      <c r="I38" s="13"/>
    </row>
    <row r="39" spans="1:31">
      <c r="I39" s="13"/>
    </row>
    <row r="40" spans="1:31">
      <c r="A40" s="6" t="s">
        <v>163</v>
      </c>
      <c r="D40" s="119">
        <f>IF(F6="",18,YEAR(F6)-(1900+MID(F5,5,2)))</f>
        <v>18</v>
      </c>
      <c r="I40" s="13"/>
    </row>
    <row r="41" spans="1:31">
      <c r="A41" s="113" t="s">
        <v>125</v>
      </c>
      <c r="D41" s="33" t="str">
        <f>"1.7."&amp;TEXT('KJ-vuosi'!$B$3,0)</f>
        <v>1.7.2021</v>
      </c>
      <c r="I41" s="13"/>
    </row>
    <row r="42" spans="1:31">
      <c r="C42" s="32"/>
      <c r="I42" s="13"/>
    </row>
    <row r="43" spans="1:31" ht="13">
      <c r="A43" s="5" t="s">
        <v>8</v>
      </c>
      <c r="I43" s="13"/>
    </row>
    <row r="44" spans="1:31">
      <c r="C44" s="7" t="s">
        <v>14</v>
      </c>
      <c r="D44" s="7" t="s">
        <v>23</v>
      </c>
      <c r="E44" s="114" t="s">
        <v>119</v>
      </c>
      <c r="I44" s="13"/>
    </row>
    <row r="45" spans="1:31">
      <c r="C45" s="7" t="s">
        <v>9</v>
      </c>
      <c r="D45" s="9" t="s">
        <v>24</v>
      </c>
      <c r="E45" s="7" t="s">
        <v>26</v>
      </c>
      <c r="I45" s="13"/>
    </row>
    <row r="46" spans="1:31">
      <c r="C46" s="8"/>
      <c r="D46" s="9" t="s">
        <v>25</v>
      </c>
      <c r="E46" s="7" t="str">
        <f>+D41&amp;")"</f>
        <v>1.7.2021)</v>
      </c>
      <c r="I46" s="13"/>
    </row>
    <row r="47" spans="1:31">
      <c r="C47" s="8"/>
      <c r="E47" s="9"/>
      <c r="I47" s="13"/>
    </row>
    <row r="48" spans="1:31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10'!F$6</f>
        <v>0</v>
      </c>
      <c r="D50" s="11">
        <f>'Virkamies 10'!F$8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10'!$F$7),aika10,4))*(VLOOKUP(MONTH('Virkamies 10'!$F$7),aika10,2)),2)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10'!$F$12*12*VLOOKUP($D$40,IF(DAYS360('poa2021'!$B$1,$F$6)&gt;0,'poa2021'!$F$5:$I$57,vastuunjako),3)</f>
        <v>0</v>
      </c>
      <c r="D52" s="17">
        <f>C52*(1+0.031*((IF(DAY('Virkamies 10'!$F$8)=31,DAYS360('Virkamies 10'!$F$6,'Virkamies 10'!$F$8,TRUE)-1,DAYS360('Virkamies 10'!$F$6,'Virkamies 10'!$F$8,TRUE)))/360))</f>
        <v>0</v>
      </c>
      <c r="E52" s="25">
        <f>ROUND(D52*(VLOOKUP(MONTH('Virkamies 10'!$F$7),aika10,4))*(VLOOKUP(MONTH('Virkamies 10'!$F$7),aika10,2)),2)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10'!$F$12*12*VLOOKUP($D$40,IF(DAYS360('poa2021'!$B$1,$F$6)&gt;0,'poa2021'!$F$5:$I$57,vastuunjako),4)</f>
        <v>0</v>
      </c>
      <c r="D53" s="15">
        <f>C53*(1+0.031*((IF(DAY('Virkamies 10'!$F$8)=31,DAYS360('Virkamies 10'!$F$6,'Virkamies 10'!$F$8,TRUE)-1,DAYS360('Virkamies 10'!$F$6,'Virkamies 10'!$F$8,TRUE)))/360))</f>
        <v>0</v>
      </c>
      <c r="E53" s="26">
        <f>ROUND(D53*(VLOOKUP(MONTH('Virkamies 10'!$F$7),aika10,4))*(VLOOKUP(MONTH('Virkamies 10'!$F$7),aika10,2)),2)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10'!$F$12*12*VLOOKUP($D$40,IF(DAYS360('poa2021'!$B$1,$F$6)&gt;0,'poa2021'!$B$5:$C$57,perusturva),2)</f>
        <v>0</v>
      </c>
      <c r="D54" s="32">
        <f>C54*(1+0.031*((IF(DAY('Virkamies 10'!$F$8)=31,DAYS360('Virkamies 10'!$F$6,'Virkamies 10'!$F$8,TRUE)-1,DAYS360('Virkamies 10'!$F$6,'Virkamies 10'!$F$8,TRUE)))/360))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10'!$F$14*12*VLOOKUP($D$40,IF(DAYS360('poa2021'!B1,F6)&gt;0,'poa2021'!B5:C57,perusturva),2))*(1+0.031*((IF(DAY('Virkamies 10'!$F$8)=31,DAYS360('Virkamies 10'!$F$6,'Virkamies 10'!$F$8,TRUE)-1,DAYS360('Virkamies 10'!$F$6,'Virkamies 10'!$F$8,TRUE)))/360))*(VLOOKUP(MONTH('Virkamies 10'!$F$7),aika1,4))*(VLOOKUP(MONTH('Virkamies 10'!$F$7),aika1,2))),2)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10'!F$6</f>
        <v>0</v>
      </c>
      <c r="D58" s="11">
        <f>'Virkamies 10'!F$8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10'!$F$7),aika10,4))*(VLOOKUP(MONTH('Virkamies 10'!$F$7),aika10,2)),2)</f>
        <v>0</v>
      </c>
    </row>
    <row r="60" spans="1:9">
      <c r="A60" s="10" t="s">
        <v>2</v>
      </c>
      <c r="C60" s="17">
        <f>'Virkamies 10'!$F$13*12*VLOOKUP($D$40,IF(DAYS360('poa2021'!$B$1,$F$6)&gt;0,'poa2021'!$F$5:$I$57,vastuunjako),3)</f>
        <v>0</v>
      </c>
      <c r="D60" s="83">
        <f>C60*(1+0.031*((IF(DAY('Virkamies 10'!$F$8)=31,DAYS360('Virkamies 10'!$F$6,'Virkamies 10'!$F$8,TRUE)-1,DAYS360('Virkamies 10'!$F$6,'Virkamies 10'!$F$8,TRUE)))/360))</f>
        <v>0</v>
      </c>
      <c r="E60" s="84">
        <f>ROUND(D60*(VLOOKUP(MONTH('Virkamies 10'!$F$7),aika10,4))*(VLOOKUP(MONTH('Virkamies 10'!$F$7),aika10,2)),2)</f>
        <v>0</v>
      </c>
    </row>
    <row r="61" spans="1:9">
      <c r="A61" s="14" t="s">
        <v>3</v>
      </c>
      <c r="B61" s="28"/>
      <c r="C61" s="15">
        <f>'Virkamies 10'!$F$13*12*VLOOKUP($D$40,IF(DAYS360('poa2021'!$B$1,$F$6)&gt;0,'poa2021'!$F$5:$I$57,vastuunjako),4)</f>
        <v>0</v>
      </c>
      <c r="D61" s="85">
        <f>C61*(1+0.031*((IF(DAY('Virkamies 10'!$F$8)=31,DAYS360('Virkamies 10'!$F$6,'Virkamies 10'!$F$8,TRUE)-1,DAYS360('Virkamies 10'!$F$6,'Virkamies 10'!$F$8,TRUE)))/360))</f>
        <v>0</v>
      </c>
      <c r="E61" s="86">
        <f>ROUND(D61*(VLOOKUP(MONTH('Virkamies 10'!$F$7),aika10,4))*(VLOOKUP(MONTH('Virkamies 10'!$F$7),aika10,2)),2)</f>
        <v>0</v>
      </c>
    </row>
    <row r="62" spans="1:9">
      <c r="A62" s="6" t="s">
        <v>10</v>
      </c>
      <c r="C62" s="32">
        <f>'Virkamies 10'!$F$13*12*VLOOKUP($D$40,IF(DAYS360('poa2021'!$B$1,$F$6)&gt;0,'poa2021'!$B$5:$C$57,perusturva),2)</f>
        <v>0</v>
      </c>
      <c r="D62" s="13">
        <f>C62*(1+0.031*((IF(DAY('Virkamies 10'!$F$8)=31,DAYS360('Virkamies 10'!$F$6,'Virkamies 10'!$F$8,TRUE)-1,DAYS360('Virkamies 10'!$F$6,'Virkamies 10'!$F$8,TRUE)))/360))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2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2" ht="13">
      <c r="A66" s="5"/>
      <c r="C66" s="11">
        <f>'Virkamies 10'!F$6</f>
        <v>0</v>
      </c>
      <c r="D66" s="11">
        <f>'Virkamies 10'!F$8</f>
        <v>0</v>
      </c>
      <c r="E66" s="21" t="str">
        <f>$D$41</f>
        <v>1.7.2021</v>
      </c>
      <c r="G66" s="7" t="s">
        <v>62</v>
      </c>
    </row>
    <row r="67" spans="1:12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10'!$F$7),aikaYEL10,4))*(VLOOKUP(MONTH('Virkamies 10'!$F$7),aikaYEL10,2)),2)</f>
        <v>0</v>
      </c>
      <c r="G67" s="7" t="s">
        <v>63</v>
      </c>
    </row>
    <row r="68" spans="1:12">
      <c r="A68" s="10" t="s">
        <v>2</v>
      </c>
      <c r="C68" s="17">
        <f>'Virkamies 10'!$F$15*12*VLOOKUP($D$40,IF(DAYS360('poa2021'!$B$1,$F$6)&gt;0,'poa2021'!$F$5:$I$57,vastuunjako),3)</f>
        <v>0</v>
      </c>
      <c r="D68" s="17">
        <f>C68*(1+0.031*((IF(DAY('Virkamies 10'!$F$8)=31,DAYS360('Virkamies 10'!$F$6,'Virkamies 10'!$F$8,TRUE)-1,DAYS360('Virkamies 10'!$F$6,'Virkamies 10'!$F$8,TRUE)))/360))</f>
        <v>0</v>
      </c>
      <c r="E68" s="84">
        <f>ROUND(D68*(VLOOKUP(MONTH('Virkamies 10'!$F$7),aikaYEL10,4))*(VLOOKUP(MONTH('Virkamies 10'!$F$7),aikaYEL10,2)),2)</f>
        <v>0</v>
      </c>
      <c r="G68" s="13">
        <f>E68</f>
        <v>0</v>
      </c>
    </row>
    <row r="69" spans="1:12">
      <c r="A69" s="14" t="s">
        <v>3</v>
      </c>
      <c r="B69" s="28"/>
      <c r="C69" s="15">
        <f>'Virkamies 10'!$F$15*12*VLOOKUP($D$40,IF(DAYS360('poa2021'!$B$1,$F$6)&gt;0,'poa2021'!$F$5:$I$57,vastuunjako),4)</f>
        <v>0</v>
      </c>
      <c r="D69" s="15">
        <f>C69*(1+0.031*((IF(DAY('Virkamies 10'!$F$8)=31,DAYS360('Virkamies 10'!$F$6,'Virkamies 10'!$F$8,TRUE)-1,DAYS360('Virkamies 10'!$F$6,'Virkamies 10'!$F$8,TRUE)))/360))</f>
        <v>0</v>
      </c>
      <c r="E69" s="86">
        <f>ROUND(D69*(VLOOKUP(MONTH('Virkamies 10'!$F$7),aikaYEL10,4))*(VLOOKUP(MONTH('Virkamies 10'!$F$7),aikaYEL10,2)),2)</f>
        <v>0</v>
      </c>
      <c r="G69" s="15">
        <f>E69</f>
        <v>0</v>
      </c>
    </row>
    <row r="70" spans="1:12" ht="13">
      <c r="A70" s="6" t="s">
        <v>10</v>
      </c>
      <c r="C70" s="32">
        <f>'Virkamies 10'!$F$15*12*VLOOKUP($D$40,IF(DAYS360('poa2021'!$B$1,$F$6)&gt;0,'poa2021'!$B$5:$C$57,perusturva),2)</f>
        <v>0</v>
      </c>
      <c r="D70" s="83">
        <f>C70*(1+0.031*((IF(DAY('Virkamies 10'!$F$8)=31,DAYS360('Virkamies 10'!$F$6,'Virkamies 10'!$F$8,TRUE)-1,DAYS360('Virkamies 10'!$F$6,'Virkamies 10'!$F$8,TRUE)))/360))</f>
        <v>0</v>
      </c>
      <c r="E70" s="83">
        <f>SUM(E67:E69)</f>
        <v>0</v>
      </c>
      <c r="F70" s="52"/>
      <c r="G70" s="44">
        <f>SUM(G68:G69)</f>
        <v>0</v>
      </c>
    </row>
    <row r="71" spans="1:12">
      <c r="C71" s="10"/>
      <c r="G71" s="16"/>
    </row>
    <row r="72" spans="1:12" ht="13">
      <c r="A72" s="5" t="s">
        <v>4</v>
      </c>
      <c r="C72" s="13"/>
      <c r="G72" s="16"/>
    </row>
    <row r="73" spans="1:12" ht="13">
      <c r="A73" s="5"/>
      <c r="C73" s="7" t="s">
        <v>15</v>
      </c>
      <c r="D73" s="7" t="s">
        <v>15</v>
      </c>
      <c r="E73" s="7" t="s">
        <v>15</v>
      </c>
      <c r="G73" s="16"/>
    </row>
    <row r="74" spans="1:12" ht="13">
      <c r="A74" s="5"/>
      <c r="C74" s="11">
        <f>'Virkamies 10'!F$6</f>
        <v>0</v>
      </c>
      <c r="D74" s="11">
        <f>'Virkamies 10'!F$8</f>
        <v>0</v>
      </c>
      <c r="E74" s="21" t="str">
        <f>$D$41</f>
        <v>1.7.2021</v>
      </c>
      <c r="G74" s="16"/>
    </row>
    <row r="75" spans="1:12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10'!$F$7),aika10,4))*(VLOOKUP(MONTH('Virkamies 10'!$F$7),aika10,2)),2)</f>
        <v>0</v>
      </c>
      <c r="G75" s="16"/>
    </row>
    <row r="76" spans="1:12" ht="13">
      <c r="A76" s="10" t="s">
        <v>2</v>
      </c>
      <c r="C76" s="17">
        <f>'Virkamies 10'!$F$16*12*VLOOKUP($D$40,IF(DAYS360('poa2021'!$B$1,$F$6)&gt;0,'poa2021'!$F$5:$I$57,vastuunjako),3)</f>
        <v>0</v>
      </c>
      <c r="D76" s="17">
        <f>C76*(1+0.031*((IF(DAY('Virkamies 10'!$F$8)=31,DAYS360('Virkamies 10'!$F$6,'Virkamies 10'!$F$8,TRUE)-1,DAYS360('Virkamies 10'!$F$6,'Virkamies 10'!$F$8,TRUE)))/360))</f>
        <v>0</v>
      </c>
      <c r="E76" s="24">
        <f>ROUND(D76*(VLOOKUP(MONTH('Virkamies 10'!$F$7),aika10,4))*(VLOOKUP(MONTH('Virkamies 10'!$F$7),aika10,2)),2)</f>
        <v>0</v>
      </c>
      <c r="G76" s="16"/>
    </row>
    <row r="77" spans="1:12" ht="13">
      <c r="A77" s="14" t="s">
        <v>3</v>
      </c>
      <c r="B77" s="28"/>
      <c r="C77" s="15">
        <f>'Virkamies 10'!$F$16*12*VLOOKUP($D$40,IF(DAYS360('poa2021'!$B$1,$F$6)&gt;0,'poa2021'!$F$5:$I$57,vastuunjako),4)</f>
        <v>0</v>
      </c>
      <c r="D77" s="15">
        <f>C77*(1+0.031*((IF(DAY('Virkamies 10'!$F$8)=31,DAYS360('Virkamies 10'!$F$6,'Virkamies 10'!$F$8,TRUE)-1,DAYS360('Virkamies 10'!$F$6,'Virkamies 10'!$F$8,TRUE)))/360))</f>
        <v>0</v>
      </c>
      <c r="E77" s="90">
        <f>ROUND(D77*(VLOOKUP(MONTH('Virkamies 10'!$F$7),aika10,4))*(VLOOKUP(MONTH('Virkamies 10'!$F$7),aika10,2)),2)</f>
        <v>0</v>
      </c>
      <c r="G77" s="16"/>
    </row>
    <row r="78" spans="1:12">
      <c r="A78" s="6" t="s">
        <v>10</v>
      </c>
      <c r="C78" s="32">
        <f>'Virkamies 10'!$F$16*12*VLOOKUP($D$40,IF(DAYS360('poa2021'!$B$1,$F$6)&gt;0,'poa2021'!$B$5:$C$57,perusturva),2)</f>
        <v>0</v>
      </c>
      <c r="D78" s="17">
        <f>C78*(1+0.031*((IF(DAY('Virkamies 10'!$F$8)=31,DAYS360('Virkamies 10'!$F$6,'Virkamies 10'!$F$8,TRUE)-1,DAYS360('Virkamies 10'!$F$6,'Virkamies 10'!$F$8,TRUE)))/360))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2">
      <c r="C79" s="17"/>
      <c r="D79" s="17"/>
      <c r="E79" s="17"/>
      <c r="G79" s="16"/>
      <c r="H79" s="12"/>
      <c r="I79" s="6" t="s">
        <v>111</v>
      </c>
    </row>
    <row r="80" spans="1:12" ht="13">
      <c r="A80" s="89" t="s">
        <v>155</v>
      </c>
      <c r="B80" s="34"/>
      <c r="C80" s="83">
        <f>'Virkamies 10'!$F$21*12*VLOOKUP($D$40,IF(DAYS360('poa2021'!$B$1,$F$6)&gt;0,'poa2021'!$B$62:$E$114,lisäturva),2)+'Virkamies 10'!$F$22*12*VLOOKUP($D$40,IF(DAYS360('poa2021'!$B$1,$F$6)&gt;0,'poa2021'!$B$62:$E$114,lisäturva),IF('Virkamies 10'!$F$23="LL",3,4))</f>
        <v>0</v>
      </c>
      <c r="D80" s="83">
        <f>C80*(1+0.031*((IF(DAY('Virkamies 10'!$F$8)=31,DAYS360('Virkamies 10'!$F$6,'Virkamies 10'!$F$8,TRUE)-1,DAYS360('Virkamies 10'!$F$6,'Virkamies 10'!$F$8,TRUE)))/360))</f>
        <v>0</v>
      </c>
      <c r="E80" s="91">
        <f>ROUND(D80*(VLOOKUP(MONTH('Virkamies 10'!$F$7),aika10,4))*(VLOOKUP(MONTH('Virkamies 10'!$F$7),aika10,2)),2)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  <c r="L80" s="34"/>
    </row>
    <row r="81" spans="1:12">
      <c r="A81" s="92"/>
      <c r="B81" s="34"/>
      <c r="C81" s="83"/>
      <c r="D81" s="34"/>
      <c r="E81" s="34"/>
      <c r="G81" s="13"/>
      <c r="K81" s="34"/>
      <c r="L81" s="34"/>
    </row>
    <row r="82" spans="1:12" ht="13">
      <c r="A82" s="89" t="s">
        <v>156</v>
      </c>
      <c r="B82" s="34"/>
      <c r="C82" s="83">
        <f>'Virkamies 10'!$F$24*12*VLOOKUP($D$40,IF(DAYS360('poa2021'!$B$1,$F$6)&gt;0,'poa2021'!$B$62:$E$114,lisäturva),2)+'Virkamies 10'!$F$25*12*VLOOKUP($D$40,IF(DAYS360('poa2021'!$B$1,$F$6)&gt;0,'poa2021'!$B$62:$E$114,lisäturva),IF('Virkamies 10'!$F$26="LL",3,4))</f>
        <v>0</v>
      </c>
      <c r="D82" s="83">
        <f>C82*(1+0.031*((IF(DAY('Virkamies 10'!$F$8)=31,DAYS360('Virkamies 10'!$F$6,'Virkamies 10'!$F$8,TRUE)-1,DAYS360('Virkamies 10'!$F$6,'Virkamies 10'!$F$8,TRUE)))/360))</f>
        <v>0</v>
      </c>
      <c r="E82" s="91">
        <f>ROUND(D82*(VLOOKUP(MONTH('Virkamies 10'!$F$7),aikaYEL10,4))*(VLOOKUP(MONTH('Virkamies 10'!$F$7),aikaYEL10,2)),2)</f>
        <v>0</v>
      </c>
      <c r="G82" s="81"/>
      <c r="K82" s="34"/>
      <c r="L82" s="34"/>
    </row>
    <row r="83" spans="1:12" ht="13">
      <c r="A83" s="34"/>
      <c r="B83" s="34"/>
      <c r="C83" s="83"/>
      <c r="D83" s="83"/>
      <c r="E83" s="87"/>
      <c r="F83" s="88"/>
      <c r="G83" s="83"/>
      <c r="H83" s="34"/>
      <c r="I83" s="32"/>
      <c r="J83" s="34"/>
    </row>
    <row r="84" spans="1:12" ht="13">
      <c r="A84" s="89" t="s">
        <v>70</v>
      </c>
      <c r="B84" s="34"/>
      <c r="C84" s="13">
        <f>'Virkamies 10'!$F$17*12*VLOOKUP($D$40,IF(DAYS360('poa2021'!$B$1,$F$6)&gt;0,'poa2021'!$B$5:$C$57,perusturva),2)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10'!$F$7),aika10,4))*(VLOOKUP(MONTH('Virkamies 10'!$F$7),aika10,2)),2)</f>
        <v>0</v>
      </c>
      <c r="F84" s="88"/>
      <c r="G84" s="83"/>
      <c r="H84" s="34"/>
      <c r="I84" s="32"/>
      <c r="J84" s="34"/>
    </row>
    <row r="85" spans="1:12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  <c r="K85" s="6"/>
      <c r="L85" s="6"/>
    </row>
    <row r="86" spans="1:12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  <c r="K86" s="6"/>
      <c r="L86" s="6"/>
    </row>
    <row r="87" spans="1:12" s="34" customForma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C16"/>
  <sheetViews>
    <sheetView workbookViewId="0">
      <selection activeCell="B16" sqref="B16"/>
    </sheetView>
  </sheetViews>
  <sheetFormatPr defaultColWidth="9.1796875" defaultRowHeight="14"/>
  <cols>
    <col min="1" max="1" width="57" style="2" customWidth="1"/>
    <col min="2" max="16384" width="9.1796875" style="2"/>
  </cols>
  <sheetData>
    <row r="1" spans="1:3" ht="18">
      <c r="A1" s="1" t="s">
        <v>115</v>
      </c>
      <c r="B1" s="6"/>
      <c r="C1" s="6"/>
    </row>
    <row r="2" spans="1:3">
      <c r="A2" s="5"/>
      <c r="B2" s="6"/>
      <c r="C2" s="6"/>
    </row>
    <row r="3" spans="1:3">
      <c r="A3" s="113" t="s">
        <v>116</v>
      </c>
      <c r="B3" s="36">
        <v>2021</v>
      </c>
    </row>
    <row r="4" spans="1:3">
      <c r="A4" s="6" t="s">
        <v>75</v>
      </c>
      <c r="B4" s="51">
        <v>0.02</v>
      </c>
    </row>
    <row r="5" spans="1:3">
      <c r="A5" s="6" t="s">
        <v>76</v>
      </c>
      <c r="B5" s="51">
        <v>0.02</v>
      </c>
    </row>
    <row r="6" spans="1:3">
      <c r="A6" s="6" t="s">
        <v>77</v>
      </c>
      <c r="B6" s="51">
        <v>0.02</v>
      </c>
    </row>
    <row r="7" spans="1:3">
      <c r="A7" s="6" t="s">
        <v>78</v>
      </c>
      <c r="B7" s="51">
        <v>0.02</v>
      </c>
    </row>
    <row r="8" spans="1:3">
      <c r="A8" s="6" t="s">
        <v>79</v>
      </c>
      <c r="B8" s="51">
        <v>0.02</v>
      </c>
    </row>
    <row r="9" spans="1:3">
      <c r="A9" s="6" t="s">
        <v>80</v>
      </c>
      <c r="B9" s="51">
        <v>0.02</v>
      </c>
    </row>
    <row r="10" spans="1:3">
      <c r="A10" s="6" t="s">
        <v>81</v>
      </c>
      <c r="B10" s="51">
        <v>0.02</v>
      </c>
    </row>
    <row r="11" spans="1:3">
      <c r="A11" s="6" t="s">
        <v>82</v>
      </c>
      <c r="B11" s="51">
        <v>0.02</v>
      </c>
    </row>
    <row r="12" spans="1:3">
      <c r="A12" s="6" t="s">
        <v>83</v>
      </c>
      <c r="B12" s="51">
        <v>0.02</v>
      </c>
    </row>
    <row r="13" spans="1:3">
      <c r="A13" s="6" t="s">
        <v>84</v>
      </c>
      <c r="B13" s="51">
        <v>0.02</v>
      </c>
    </row>
    <row r="14" spans="1:3">
      <c r="A14" s="6" t="s">
        <v>85</v>
      </c>
      <c r="B14" s="51">
        <v>0.02</v>
      </c>
    </row>
    <row r="15" spans="1:3">
      <c r="A15" s="6" t="s">
        <v>86</v>
      </c>
      <c r="B15" s="51">
        <v>0.02</v>
      </c>
    </row>
    <row r="16" spans="1:3">
      <c r="A16" s="6" t="s">
        <v>87</v>
      </c>
      <c r="B16" s="51">
        <v>0.02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horizontalDpi="8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H43"/>
  <sheetViews>
    <sheetView topLeftCell="A21" zoomScaleNormal="100" workbookViewId="0">
      <selection activeCell="C36" sqref="C36"/>
    </sheetView>
  </sheetViews>
  <sheetFormatPr defaultRowHeight="12.5"/>
  <cols>
    <col min="1" max="1" width="5" customWidth="1"/>
    <col min="2" max="2" width="65.453125" customWidth="1"/>
    <col min="3" max="3" width="3.453125" bestFit="1" customWidth="1"/>
    <col min="4" max="4" width="4.54296875" bestFit="1" customWidth="1"/>
    <col min="5" max="5" width="3.1796875" bestFit="1" customWidth="1"/>
    <col min="6" max="6" width="17.81640625" customWidth="1"/>
  </cols>
  <sheetData>
    <row r="1" spans="1:7" ht="14">
      <c r="A1" s="58" t="s">
        <v>146</v>
      </c>
      <c r="B1" s="59"/>
      <c r="C1" s="60"/>
      <c r="D1" s="60"/>
      <c r="E1" s="61"/>
      <c r="F1" s="80"/>
      <c r="G1" s="60"/>
    </row>
    <row r="2" spans="1:7" ht="13">
      <c r="A2" s="61"/>
      <c r="B2" s="61"/>
      <c r="C2" s="60"/>
      <c r="D2" s="60"/>
      <c r="E2" s="61"/>
      <c r="F2" s="72"/>
      <c r="G2" s="60"/>
    </row>
    <row r="3" spans="1:7" ht="13.5">
      <c r="A3" s="61"/>
      <c r="B3" s="62" t="s">
        <v>45</v>
      </c>
      <c r="C3" s="60"/>
      <c r="D3" s="60"/>
      <c r="E3" s="59"/>
      <c r="F3" s="73"/>
      <c r="G3" s="60"/>
    </row>
    <row r="4" spans="1:7" ht="15.5">
      <c r="A4" s="63"/>
      <c r="B4" s="64" t="s">
        <v>144</v>
      </c>
      <c r="C4" s="105" t="s">
        <v>46</v>
      </c>
      <c r="D4" s="105" t="s">
        <v>47</v>
      </c>
      <c r="E4" s="64" t="s">
        <v>48</v>
      </c>
      <c r="F4" s="74">
        <f>SUM('Virkamies 1:Virkamies 10'!E51)</f>
        <v>0</v>
      </c>
      <c r="G4" s="65"/>
    </row>
    <row r="5" spans="1:7" ht="15.5">
      <c r="A5" s="66"/>
      <c r="B5" s="64" t="s">
        <v>145</v>
      </c>
      <c r="C5" s="105" t="s">
        <v>46</v>
      </c>
      <c r="D5" s="106" t="s">
        <v>49</v>
      </c>
      <c r="E5" s="64" t="s">
        <v>48</v>
      </c>
      <c r="F5" s="75">
        <f>SUM('Virkamies 1:Virkamies 10'!E59)</f>
        <v>0</v>
      </c>
      <c r="G5" s="60"/>
    </row>
    <row r="6" spans="1:7" ht="15.5">
      <c r="A6" s="66"/>
      <c r="B6" s="61" t="s">
        <v>134</v>
      </c>
      <c r="C6" s="106" t="s">
        <v>46</v>
      </c>
      <c r="D6" s="106" t="s">
        <v>50</v>
      </c>
      <c r="E6" s="61" t="s">
        <v>48</v>
      </c>
      <c r="F6" s="76">
        <f>SUM('Virkamies 1:Virkamies 10'!E67)</f>
        <v>0</v>
      </c>
      <c r="G6" s="60"/>
    </row>
    <row r="7" spans="1:7" ht="15.5">
      <c r="A7" s="66"/>
      <c r="B7" s="61" t="s">
        <v>135</v>
      </c>
      <c r="C7" s="106" t="s">
        <v>46</v>
      </c>
      <c r="D7" s="106" t="s">
        <v>51</v>
      </c>
      <c r="E7" s="61" t="s">
        <v>48</v>
      </c>
      <c r="F7" s="77">
        <f>SUM('Virkamies 1:Virkamies 10'!E75)</f>
        <v>0</v>
      </c>
      <c r="G7" s="60"/>
    </row>
    <row r="8" spans="1:7" ht="13">
      <c r="A8" s="61"/>
      <c r="B8" s="61"/>
      <c r="C8" s="106"/>
      <c r="D8" s="106"/>
      <c r="E8" s="61"/>
      <c r="F8" s="72"/>
      <c r="G8" s="60"/>
    </row>
    <row r="9" spans="1:7" ht="13.5">
      <c r="A9" s="61"/>
      <c r="B9" s="62" t="s">
        <v>52</v>
      </c>
      <c r="C9" s="106"/>
      <c r="D9" s="106"/>
      <c r="E9" s="59"/>
      <c r="F9" s="73"/>
      <c r="G9" s="60"/>
    </row>
    <row r="10" spans="1:7" ht="15.5">
      <c r="A10" s="63"/>
      <c r="B10" s="64" t="s">
        <v>147</v>
      </c>
      <c r="C10" s="105" t="s">
        <v>46</v>
      </c>
      <c r="D10" s="107" t="s">
        <v>53</v>
      </c>
      <c r="E10" s="64" t="s">
        <v>48</v>
      </c>
      <c r="F10" s="74">
        <f>SUM('Virkamies 1:Virkamies 10'!G54)</f>
        <v>0</v>
      </c>
      <c r="G10" s="97"/>
    </row>
    <row r="11" spans="1:7" ht="15.5">
      <c r="A11" s="66"/>
      <c r="B11" s="64" t="s">
        <v>148</v>
      </c>
      <c r="C11" s="105" t="s">
        <v>46</v>
      </c>
      <c r="D11" s="108" t="s">
        <v>54</v>
      </c>
      <c r="E11" s="64" t="s">
        <v>48</v>
      </c>
      <c r="F11" s="75">
        <f>SUM('Virkamies 1:Virkamies 10'!E60)+SUM('Virkamies 1:Virkamies 10'!E61)</f>
        <v>0</v>
      </c>
      <c r="G11" s="60"/>
    </row>
    <row r="12" spans="1:7" ht="15.5">
      <c r="A12" s="66"/>
      <c r="B12" s="61" t="s">
        <v>136</v>
      </c>
      <c r="C12" s="106" t="s">
        <v>46</v>
      </c>
      <c r="D12" s="108" t="s">
        <v>55</v>
      </c>
      <c r="E12" s="61" t="s">
        <v>48</v>
      </c>
      <c r="F12" s="76">
        <f>SUM('Virkamies 1:Virkamies 10'!G70)</f>
        <v>0</v>
      </c>
      <c r="G12" s="60"/>
    </row>
    <row r="13" spans="1:7" ht="15.5">
      <c r="A13" s="66"/>
      <c r="B13" s="61" t="s">
        <v>137</v>
      </c>
      <c r="C13" s="106" t="s">
        <v>46</v>
      </c>
      <c r="D13" s="108" t="s">
        <v>56</v>
      </c>
      <c r="E13" s="61" t="s">
        <v>48</v>
      </c>
      <c r="F13" s="76">
        <f>SUM('Virkamies 1:Virkamies 10'!E76)+SUM('Virkamies 1:Virkamies 10'!E77)</f>
        <v>0</v>
      </c>
      <c r="G13" s="60"/>
    </row>
    <row r="14" spans="1:7" ht="13">
      <c r="A14" s="61"/>
      <c r="B14" s="61"/>
      <c r="C14" s="106"/>
      <c r="D14" s="106"/>
      <c r="E14" s="59"/>
      <c r="F14" s="72"/>
      <c r="G14" s="67"/>
    </row>
    <row r="15" spans="1:7" ht="15">
      <c r="A15" s="68" t="s">
        <v>57</v>
      </c>
      <c r="B15" s="59"/>
      <c r="C15" s="106"/>
      <c r="D15" s="106"/>
      <c r="E15" s="59"/>
      <c r="F15" s="71"/>
      <c r="G15" s="67"/>
    </row>
    <row r="16" spans="1:7" ht="13">
      <c r="A16" s="61"/>
      <c r="B16" s="61"/>
      <c r="C16" s="106"/>
      <c r="D16" s="106"/>
      <c r="E16" s="59"/>
      <c r="F16" s="72"/>
      <c r="G16" s="67"/>
    </row>
    <row r="17" spans="1:7" ht="13">
      <c r="A17" s="66"/>
      <c r="B17" s="61" t="s">
        <v>138</v>
      </c>
      <c r="C17" s="106" t="s">
        <v>46</v>
      </c>
      <c r="D17" s="108" t="s">
        <v>98</v>
      </c>
      <c r="E17" s="61" t="s">
        <v>48</v>
      </c>
      <c r="F17" s="77">
        <f>SUM('Virkamies 1:Virkamies 10'!F29:F34)+SUM('Virkamies 1:Virkamies 10'!G80)+SUM('Virkamies 1:Virkamies 10'!I80)</f>
        <v>0</v>
      </c>
      <c r="G17" s="97"/>
    </row>
    <row r="18" spans="1:7" ht="16">
      <c r="A18" s="66"/>
      <c r="B18" s="61" t="s">
        <v>139</v>
      </c>
      <c r="C18" s="106"/>
      <c r="D18" s="108"/>
      <c r="E18" s="61"/>
      <c r="F18" s="72"/>
      <c r="G18" s="60"/>
    </row>
    <row r="19" spans="1:7" ht="13">
      <c r="C19" s="106"/>
      <c r="D19" s="108"/>
      <c r="E19" s="61"/>
      <c r="F19" s="72"/>
      <c r="G19" s="61"/>
    </row>
    <row r="20" spans="1:7" ht="15">
      <c r="A20" s="68" t="s">
        <v>58</v>
      </c>
      <c r="B20" s="59"/>
      <c r="C20" s="106"/>
      <c r="D20" s="108"/>
      <c r="E20" s="61"/>
      <c r="F20" s="72"/>
      <c r="G20" s="61"/>
    </row>
    <row r="21" spans="1:7" ht="13">
      <c r="A21" s="61"/>
      <c r="B21" s="70"/>
      <c r="C21" s="109"/>
      <c r="D21" s="109"/>
      <c r="F21" s="78"/>
    </row>
    <row r="22" spans="1:7" ht="13">
      <c r="A22" s="66"/>
      <c r="B22" s="61" t="s">
        <v>140</v>
      </c>
      <c r="C22" s="106" t="s">
        <v>46</v>
      </c>
      <c r="D22" s="108" t="s">
        <v>99</v>
      </c>
      <c r="E22" s="61" t="s">
        <v>48</v>
      </c>
      <c r="F22" s="79">
        <f>SUM('Virkamies 1:Virkamies 10'!E82)</f>
        <v>0</v>
      </c>
    </row>
    <row r="23" spans="1:7" ht="15">
      <c r="A23" s="61"/>
      <c r="B23" s="61" t="s">
        <v>141</v>
      </c>
      <c r="C23" s="106"/>
      <c r="D23" s="108"/>
      <c r="E23" s="61"/>
      <c r="F23" s="97"/>
    </row>
    <row r="24" spans="1:7" ht="13.5">
      <c r="A24" s="61"/>
      <c r="B24" s="69"/>
      <c r="C24" s="106"/>
      <c r="D24" s="106"/>
      <c r="E24" s="59"/>
      <c r="F24" s="78"/>
    </row>
    <row r="25" spans="1:7" ht="15">
      <c r="A25" s="68" t="s">
        <v>67</v>
      </c>
      <c r="C25" s="109"/>
      <c r="D25" s="109"/>
      <c r="F25" s="78"/>
    </row>
    <row r="26" spans="1:7" ht="13">
      <c r="A26" s="99"/>
      <c r="C26" s="109"/>
      <c r="D26" s="109"/>
      <c r="F26" s="78"/>
    </row>
    <row r="27" spans="1:7" ht="15.5">
      <c r="A27" s="66"/>
      <c r="B27" s="61" t="s">
        <v>142</v>
      </c>
      <c r="C27" s="106" t="s">
        <v>46</v>
      </c>
      <c r="D27" s="110" t="s">
        <v>68</v>
      </c>
      <c r="E27" t="s">
        <v>100</v>
      </c>
      <c r="F27" s="74">
        <f>SUM('Virkamies 1:Virkamies 10'!E84)</f>
        <v>0</v>
      </c>
    </row>
    <row r="28" spans="1:7" ht="13">
      <c r="C28" s="109"/>
      <c r="D28" s="109"/>
      <c r="F28" s="78"/>
    </row>
    <row r="29" spans="1:7" ht="15">
      <c r="A29" s="93" t="s">
        <v>126</v>
      </c>
      <c r="C29" s="109"/>
      <c r="D29" s="109"/>
      <c r="F29" s="78"/>
    </row>
    <row r="30" spans="1:7" ht="13">
      <c r="A30" s="98"/>
      <c r="C30" s="109"/>
      <c r="D30" s="109"/>
      <c r="F30" s="78"/>
    </row>
    <row r="31" spans="1:7" ht="15.5">
      <c r="A31" s="94"/>
      <c r="B31" s="94" t="s">
        <v>143</v>
      </c>
      <c r="C31" s="106" t="s">
        <v>46</v>
      </c>
      <c r="D31" s="110" t="s">
        <v>89</v>
      </c>
      <c r="E31" t="s">
        <v>48</v>
      </c>
      <c r="F31" s="74">
        <f>SUM('Virkamies 1:Virkamies 10'!I54)</f>
        <v>0</v>
      </c>
    </row>
    <row r="32" spans="1:7" ht="13">
      <c r="F32" s="78"/>
    </row>
    <row r="34" spans="1:8" ht="15">
      <c r="A34" s="61" t="s">
        <v>174</v>
      </c>
      <c r="B34" s="61"/>
    </row>
    <row r="35" spans="1:8" ht="13">
      <c r="A35" s="61" t="s">
        <v>176</v>
      </c>
      <c r="B35" s="61"/>
    </row>
    <row r="36" spans="1:8" ht="15">
      <c r="A36" s="61" t="s">
        <v>175</v>
      </c>
      <c r="B36" s="61"/>
      <c r="H36" s="82"/>
    </row>
    <row r="37" spans="1:8" ht="13">
      <c r="A37" s="61" t="s">
        <v>127</v>
      </c>
      <c r="B37" s="61"/>
    </row>
    <row r="38" spans="1:8" ht="13">
      <c r="A38" s="61" t="s">
        <v>114</v>
      </c>
      <c r="B38" s="61"/>
    </row>
    <row r="40" spans="1:8" ht="13">
      <c r="A40" s="61" t="s">
        <v>101</v>
      </c>
    </row>
    <row r="41" spans="1:8" ht="13">
      <c r="A41" s="61" t="s">
        <v>102</v>
      </c>
      <c r="F41" s="82"/>
    </row>
    <row r="43" spans="1:8">
      <c r="F43" s="82"/>
    </row>
  </sheetData>
  <phoneticPr fontId="0" type="noConversion"/>
  <pageMargins left="0.75" right="0.75" top="1" bottom="1" header="0.4921259845" footer="0.4921259845"/>
  <pageSetup paperSize="9" scale="89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5"/>
  <dimension ref="B1:N114"/>
  <sheetViews>
    <sheetView topLeftCell="A92" workbookViewId="0">
      <selection activeCell="E74" sqref="E74"/>
    </sheetView>
  </sheetViews>
  <sheetFormatPr defaultRowHeight="12.5"/>
  <cols>
    <col min="2" max="2" width="8.90625" bestFit="1" customWidth="1"/>
    <col min="7" max="7" width="12" customWidth="1"/>
    <col min="9" max="9" width="10.54296875" bestFit="1" customWidth="1"/>
    <col min="10" max="10" width="11.453125" customWidth="1"/>
    <col min="12" max="12" width="13.7265625" bestFit="1" customWidth="1"/>
  </cols>
  <sheetData>
    <row r="1" spans="2:13">
      <c r="B1" s="121" t="s">
        <v>122</v>
      </c>
      <c r="D1" s="115"/>
    </row>
    <row r="2" spans="2:13">
      <c r="B2" s="135">
        <v>2020</v>
      </c>
      <c r="D2" s="116"/>
    </row>
    <row r="3" spans="2:13">
      <c r="B3" s="113"/>
      <c r="D3" s="116"/>
      <c r="G3" s="113" t="s">
        <v>128</v>
      </c>
    </row>
    <row r="4" spans="2:13">
      <c r="B4" s="113" t="s">
        <v>123</v>
      </c>
      <c r="C4" s="113" t="s">
        <v>124</v>
      </c>
      <c r="D4" s="113"/>
      <c r="F4" s="113" t="s">
        <v>123</v>
      </c>
      <c r="G4" s="113" t="s">
        <v>131</v>
      </c>
      <c r="H4" s="113" t="s">
        <v>132</v>
      </c>
      <c r="I4" s="113" t="s">
        <v>133</v>
      </c>
    </row>
    <row r="5" spans="2:13">
      <c r="B5">
        <v>18</v>
      </c>
      <c r="C5" s="4">
        <v>6.3897899999999996</v>
      </c>
      <c r="D5" s="4"/>
      <c r="F5">
        <v>18</v>
      </c>
      <c r="G5" s="4">
        <v>5.2587599999999997</v>
      </c>
      <c r="H5" s="4">
        <v>0.83906000000000003</v>
      </c>
      <c r="I5" s="4">
        <v>0.29196</v>
      </c>
      <c r="K5" s="4"/>
      <c r="L5" s="4"/>
      <c r="M5" s="4"/>
    </row>
    <row r="6" spans="2:13">
      <c r="B6">
        <v>19</v>
      </c>
      <c r="C6" s="4">
        <v>6.5134299999999996</v>
      </c>
      <c r="D6" s="4"/>
      <c r="F6">
        <v>19</v>
      </c>
      <c r="G6" s="4">
        <v>5.3616700000000002</v>
      </c>
      <c r="H6" s="4">
        <v>0.85067999999999999</v>
      </c>
      <c r="I6" s="4">
        <v>0.30107</v>
      </c>
      <c r="K6" s="4"/>
      <c r="L6" s="4"/>
      <c r="M6" s="4"/>
    </row>
    <row r="7" spans="2:13">
      <c r="B7">
        <v>20</v>
      </c>
      <c r="C7" s="4">
        <v>6.64663</v>
      </c>
      <c r="D7" s="4"/>
      <c r="F7">
        <v>20</v>
      </c>
      <c r="G7" s="4">
        <v>5.47255</v>
      </c>
      <c r="H7" s="4">
        <v>0.86328000000000005</v>
      </c>
      <c r="I7" s="4">
        <v>0.31080000000000002</v>
      </c>
      <c r="K7" s="4"/>
      <c r="L7" s="4"/>
      <c r="M7" s="4"/>
    </row>
    <row r="8" spans="2:13">
      <c r="B8">
        <v>21</v>
      </c>
      <c r="C8" s="4">
        <v>6.7978899999999998</v>
      </c>
      <c r="D8" s="4"/>
      <c r="F8">
        <v>21</v>
      </c>
      <c r="G8" s="4">
        <v>5.5911900000000001</v>
      </c>
      <c r="H8" s="4">
        <v>0.88663999999999998</v>
      </c>
      <c r="I8" s="4">
        <v>0.32005</v>
      </c>
      <c r="K8" s="4"/>
      <c r="L8" s="4"/>
      <c r="M8" s="4"/>
    </row>
    <row r="9" spans="2:13">
      <c r="B9">
        <v>22</v>
      </c>
      <c r="C9" s="4">
        <v>6.9278500000000003</v>
      </c>
      <c r="D9" s="4"/>
      <c r="F9">
        <v>22</v>
      </c>
      <c r="G9" s="4">
        <v>5.6996099999999998</v>
      </c>
      <c r="H9" s="4">
        <v>0.89832000000000001</v>
      </c>
      <c r="I9" s="4">
        <v>0.32991999999999999</v>
      </c>
      <c r="K9" s="4"/>
      <c r="L9" s="4"/>
      <c r="M9" s="4"/>
    </row>
    <row r="10" spans="2:13">
      <c r="B10">
        <v>23</v>
      </c>
      <c r="C10" s="4">
        <v>7.0677599999999998</v>
      </c>
      <c r="D10" s="4"/>
      <c r="F10">
        <v>23</v>
      </c>
      <c r="G10" s="4">
        <v>5.8164300000000004</v>
      </c>
      <c r="H10" s="4">
        <v>0.91093000000000002</v>
      </c>
      <c r="I10" s="4">
        <v>0.34039000000000003</v>
      </c>
      <c r="K10" s="4"/>
      <c r="L10" s="4"/>
      <c r="M10" s="4"/>
    </row>
    <row r="11" spans="2:13">
      <c r="B11">
        <v>24</v>
      </c>
      <c r="C11" s="4">
        <v>7.2256400000000003</v>
      </c>
      <c r="D11" s="4"/>
      <c r="F11">
        <v>24</v>
      </c>
      <c r="G11" s="4">
        <v>5.9529800000000002</v>
      </c>
      <c r="H11" s="4">
        <v>0.92344000000000004</v>
      </c>
      <c r="I11" s="4">
        <v>0.34921999999999997</v>
      </c>
      <c r="K11" s="4"/>
      <c r="L11" s="4"/>
      <c r="M11" s="4"/>
    </row>
    <row r="12" spans="2:13">
      <c r="B12">
        <v>25</v>
      </c>
      <c r="C12" s="4">
        <v>7.3727200000000002</v>
      </c>
      <c r="D12" s="4"/>
      <c r="F12">
        <v>25</v>
      </c>
      <c r="G12" s="4">
        <v>6.0769099999999998</v>
      </c>
      <c r="H12" s="4">
        <v>0.93576999999999999</v>
      </c>
      <c r="I12" s="4">
        <v>0.36003000000000002</v>
      </c>
      <c r="K12" s="4"/>
      <c r="L12" s="4"/>
      <c r="M12" s="4"/>
    </row>
    <row r="13" spans="2:13">
      <c r="B13">
        <v>26</v>
      </c>
      <c r="C13" s="4">
        <v>7.5219100000000001</v>
      </c>
      <c r="D13" s="4"/>
      <c r="F13">
        <v>26</v>
      </c>
      <c r="G13" s="4">
        <v>6.20303</v>
      </c>
      <c r="H13" s="4">
        <v>0.94789999999999996</v>
      </c>
      <c r="I13" s="4">
        <v>0.37097999999999998</v>
      </c>
      <c r="K13" s="4"/>
      <c r="L13" s="4"/>
      <c r="M13" s="4"/>
    </row>
    <row r="14" spans="2:13">
      <c r="B14">
        <v>27</v>
      </c>
      <c r="C14" s="4">
        <v>7.6907100000000002</v>
      </c>
      <c r="D14" s="4"/>
      <c r="F14">
        <v>27</v>
      </c>
      <c r="G14" s="4">
        <v>6.3378500000000004</v>
      </c>
      <c r="H14" s="4">
        <v>0.97169000000000005</v>
      </c>
      <c r="I14" s="4">
        <v>0.38117000000000001</v>
      </c>
      <c r="K14" s="4"/>
      <c r="L14" s="4"/>
      <c r="M14" s="4"/>
    </row>
    <row r="15" spans="2:13">
      <c r="B15">
        <v>28</v>
      </c>
      <c r="C15" s="4">
        <v>7.84443</v>
      </c>
      <c r="D15" s="4"/>
      <c r="F15">
        <v>28</v>
      </c>
      <c r="G15" s="4">
        <v>6.4687599999999996</v>
      </c>
      <c r="H15" s="4">
        <v>0.98338000000000003</v>
      </c>
      <c r="I15" s="4">
        <v>0.39229000000000003</v>
      </c>
      <c r="K15" s="4"/>
      <c r="L15" s="4"/>
      <c r="M15" s="4"/>
    </row>
    <row r="16" spans="2:13">
      <c r="B16">
        <v>29</v>
      </c>
      <c r="C16" s="4">
        <v>8.0001200000000008</v>
      </c>
      <c r="D16" s="4"/>
      <c r="F16">
        <v>29</v>
      </c>
      <c r="G16" s="4">
        <v>6.6019899999999998</v>
      </c>
      <c r="H16" s="4">
        <v>0.99467000000000005</v>
      </c>
      <c r="I16" s="4">
        <v>0.40345999999999999</v>
      </c>
      <c r="K16" s="4"/>
      <c r="L16" s="4"/>
      <c r="M16" s="4"/>
    </row>
    <row r="17" spans="2:13">
      <c r="B17">
        <v>30</v>
      </c>
      <c r="C17" s="4">
        <v>8.1753800000000005</v>
      </c>
      <c r="D17" s="4"/>
      <c r="F17">
        <v>30</v>
      </c>
      <c r="G17" s="4">
        <v>6.75739</v>
      </c>
      <c r="H17" s="4">
        <v>1.00545</v>
      </c>
      <c r="I17" s="4">
        <v>0.41254000000000002</v>
      </c>
      <c r="K17" s="4"/>
      <c r="L17" s="4"/>
      <c r="M17" s="4"/>
    </row>
    <row r="18" spans="2:13">
      <c r="B18">
        <v>31</v>
      </c>
      <c r="C18" s="4">
        <v>8.3367100000000001</v>
      </c>
      <c r="D18" s="4"/>
      <c r="F18">
        <v>31</v>
      </c>
      <c r="G18" s="4">
        <v>6.8973599999999999</v>
      </c>
      <c r="H18" s="4">
        <v>1.0156400000000001</v>
      </c>
      <c r="I18" s="4">
        <v>0.42370000000000002</v>
      </c>
      <c r="K18" s="4"/>
      <c r="L18" s="4"/>
      <c r="M18" s="4"/>
    </row>
    <row r="19" spans="2:13">
      <c r="B19">
        <v>32</v>
      </c>
      <c r="C19" s="4">
        <v>8.5095399999999994</v>
      </c>
      <c r="D19" s="4"/>
      <c r="F19">
        <v>32</v>
      </c>
      <c r="G19" s="4">
        <v>7.04786</v>
      </c>
      <c r="H19" s="4">
        <v>1.0263100000000001</v>
      </c>
      <c r="I19" s="4">
        <v>0.43536000000000002</v>
      </c>
      <c r="K19" s="4"/>
      <c r="L19" s="4"/>
      <c r="M19" s="4"/>
    </row>
    <row r="20" spans="2:13">
      <c r="B20">
        <v>33</v>
      </c>
      <c r="C20" s="4">
        <v>8.6931600000000007</v>
      </c>
      <c r="D20" s="4"/>
      <c r="F20">
        <v>33</v>
      </c>
      <c r="G20" s="4">
        <v>7.2138799999999996</v>
      </c>
      <c r="H20" s="4">
        <v>1.0349999999999999</v>
      </c>
      <c r="I20" s="4">
        <v>0.44427</v>
      </c>
      <c r="K20" s="4"/>
      <c r="L20" s="4"/>
      <c r="M20" s="4"/>
    </row>
    <row r="21" spans="2:13">
      <c r="B21">
        <v>34</v>
      </c>
      <c r="C21" s="4">
        <v>8.8607300000000002</v>
      </c>
      <c r="D21" s="4"/>
      <c r="F21">
        <v>34</v>
      </c>
      <c r="G21" s="4">
        <v>7.3626199999999997</v>
      </c>
      <c r="H21" s="4">
        <v>1.04274</v>
      </c>
      <c r="I21" s="4">
        <v>0.45537</v>
      </c>
      <c r="K21" s="4"/>
      <c r="L21" s="4"/>
      <c r="M21" s="4"/>
    </row>
    <row r="22" spans="2:13">
      <c r="B22">
        <v>35</v>
      </c>
      <c r="C22" s="4">
        <v>9.0413800000000002</v>
      </c>
      <c r="D22" s="4"/>
      <c r="F22">
        <v>35</v>
      </c>
      <c r="G22" s="4">
        <v>7.52386</v>
      </c>
      <c r="H22" s="4">
        <v>1.05057</v>
      </c>
      <c r="I22" s="4">
        <v>0.46694999999999998</v>
      </c>
      <c r="K22" s="4"/>
      <c r="L22" s="4"/>
      <c r="M22" s="4"/>
    </row>
    <row r="23" spans="2:13">
      <c r="B23">
        <v>36</v>
      </c>
      <c r="C23" s="4">
        <v>9.2339300000000009</v>
      </c>
      <c r="D23" s="4"/>
      <c r="F23">
        <v>36</v>
      </c>
      <c r="G23" s="4">
        <v>7.70235</v>
      </c>
      <c r="H23" s="4">
        <v>1.0559700000000001</v>
      </c>
      <c r="I23" s="4">
        <v>0.47560999999999998</v>
      </c>
      <c r="K23" s="4"/>
      <c r="L23" s="4"/>
      <c r="M23" s="4"/>
    </row>
    <row r="24" spans="2:13">
      <c r="B24">
        <v>37</v>
      </c>
      <c r="C24" s="4">
        <v>9.4209499999999995</v>
      </c>
      <c r="D24" s="4"/>
      <c r="F24">
        <v>37</v>
      </c>
      <c r="G24" s="4">
        <v>7.8727499999999999</v>
      </c>
      <c r="H24" s="4">
        <v>1.06111</v>
      </c>
      <c r="I24" s="4">
        <v>0.48709000000000002</v>
      </c>
      <c r="K24" s="4"/>
      <c r="L24" s="4"/>
      <c r="M24" s="4"/>
    </row>
    <row r="25" spans="2:13">
      <c r="B25">
        <v>38</v>
      </c>
      <c r="C25" s="4">
        <v>9.5990199999999994</v>
      </c>
      <c r="D25" s="4"/>
      <c r="F25">
        <v>38</v>
      </c>
      <c r="G25" s="4">
        <v>8.0376499999999993</v>
      </c>
      <c r="H25" s="4">
        <v>1.06341</v>
      </c>
      <c r="I25" s="4">
        <v>0.49796000000000001</v>
      </c>
      <c r="K25" s="4"/>
      <c r="L25" s="4"/>
      <c r="M25" s="4"/>
    </row>
    <row r="26" spans="2:13">
      <c r="B26">
        <v>39</v>
      </c>
      <c r="C26" s="4">
        <v>9.8101900000000004</v>
      </c>
      <c r="D26" s="4"/>
      <c r="F26">
        <v>39</v>
      </c>
      <c r="G26" s="4">
        <v>8.2382500000000007</v>
      </c>
      <c r="H26" s="4">
        <v>1.0650500000000001</v>
      </c>
      <c r="I26" s="4">
        <v>0.50688</v>
      </c>
      <c r="K26" s="4"/>
      <c r="L26" s="4"/>
      <c r="M26" s="4"/>
    </row>
    <row r="27" spans="2:13">
      <c r="B27">
        <v>40</v>
      </c>
      <c r="C27" s="4">
        <v>10.00306</v>
      </c>
      <c r="D27" s="4"/>
      <c r="F27">
        <v>40</v>
      </c>
      <c r="G27" s="4">
        <v>8.4203299999999999</v>
      </c>
      <c r="H27" s="4">
        <v>1.0645800000000001</v>
      </c>
      <c r="I27" s="4">
        <v>0.51815</v>
      </c>
      <c r="K27" s="4"/>
      <c r="L27" s="4"/>
      <c r="M27" s="4"/>
    </row>
    <row r="28" spans="2:13">
      <c r="B28">
        <v>41</v>
      </c>
      <c r="C28" s="4">
        <v>10.18601</v>
      </c>
      <c r="D28" s="4"/>
      <c r="F28">
        <v>41</v>
      </c>
      <c r="G28" s="4">
        <v>8.5967400000000005</v>
      </c>
      <c r="H28" s="4">
        <v>1.0605199999999999</v>
      </c>
      <c r="I28" s="4">
        <v>0.52875000000000005</v>
      </c>
      <c r="K28" s="4"/>
      <c r="L28" s="4"/>
      <c r="M28" s="4"/>
    </row>
    <row r="29" spans="2:13">
      <c r="B29">
        <v>42</v>
      </c>
      <c r="C29" s="4">
        <v>10.405519999999999</v>
      </c>
      <c r="D29" s="4"/>
      <c r="F29">
        <v>42</v>
      </c>
      <c r="G29" s="4">
        <v>8.8132000000000001</v>
      </c>
      <c r="H29" s="4">
        <v>1.05501</v>
      </c>
      <c r="I29" s="4">
        <v>0.53730999999999995</v>
      </c>
      <c r="K29" s="4"/>
      <c r="L29" s="4"/>
      <c r="M29" s="4"/>
    </row>
    <row r="30" spans="2:13">
      <c r="B30">
        <v>43</v>
      </c>
      <c r="C30" s="4">
        <v>10.60473</v>
      </c>
      <c r="D30" s="4"/>
      <c r="F30">
        <v>43</v>
      </c>
      <c r="G30" s="4">
        <v>9.0099800000000005</v>
      </c>
      <c r="H30" s="4">
        <v>1.0465100000000001</v>
      </c>
      <c r="I30" s="4">
        <v>0.54823999999999995</v>
      </c>
      <c r="K30" s="4"/>
      <c r="L30" s="4"/>
      <c r="M30" s="4"/>
    </row>
    <row r="31" spans="2:13">
      <c r="B31">
        <v>44</v>
      </c>
      <c r="C31" s="4">
        <v>10.80697</v>
      </c>
      <c r="D31" s="4"/>
      <c r="F31">
        <v>44</v>
      </c>
      <c r="G31" s="4">
        <v>9.2296099999999992</v>
      </c>
      <c r="H31" s="4">
        <v>1.0199499999999999</v>
      </c>
      <c r="I31" s="4">
        <v>0.55740999999999996</v>
      </c>
      <c r="K31" s="4"/>
      <c r="L31" s="4"/>
      <c r="M31" s="4"/>
    </row>
    <row r="32" spans="2:13">
      <c r="B32">
        <v>45</v>
      </c>
      <c r="C32" s="4">
        <v>11.033759999999999</v>
      </c>
      <c r="D32" s="4"/>
      <c r="F32">
        <v>45</v>
      </c>
      <c r="G32" s="4">
        <v>9.4639500000000005</v>
      </c>
      <c r="H32" s="4">
        <v>1.0043899999999999</v>
      </c>
      <c r="I32" s="4">
        <v>0.56542000000000003</v>
      </c>
      <c r="K32" s="4"/>
      <c r="L32" s="4"/>
      <c r="M32" s="4"/>
    </row>
    <row r="33" spans="2:14">
      <c r="B33">
        <v>46</v>
      </c>
      <c r="C33" s="4">
        <v>11.237349999999999</v>
      </c>
      <c r="D33" s="4"/>
      <c r="F33">
        <v>46</v>
      </c>
      <c r="G33" s="4">
        <v>9.6767599999999998</v>
      </c>
      <c r="H33" s="4">
        <v>0.98484000000000005</v>
      </c>
      <c r="I33" s="4">
        <v>0.57574999999999998</v>
      </c>
      <c r="K33" s="4"/>
      <c r="L33" s="4"/>
      <c r="M33" s="4"/>
    </row>
    <row r="34" spans="2:14">
      <c r="B34">
        <v>47</v>
      </c>
      <c r="C34" s="4">
        <v>11.441520000000001</v>
      </c>
      <c r="D34" s="4"/>
      <c r="F34">
        <v>47</v>
      </c>
      <c r="G34" s="4">
        <v>9.8947900000000004</v>
      </c>
      <c r="H34" s="4">
        <v>0.96089999999999998</v>
      </c>
      <c r="I34" s="4">
        <v>0.58584000000000003</v>
      </c>
      <c r="K34" s="4"/>
      <c r="L34" s="4"/>
      <c r="M34" s="4"/>
    </row>
    <row r="35" spans="2:14">
      <c r="B35">
        <v>48</v>
      </c>
      <c r="C35" s="4">
        <v>11.67554</v>
      </c>
      <c r="D35" s="4"/>
      <c r="F35">
        <v>48</v>
      </c>
      <c r="G35" s="4">
        <v>10.15029</v>
      </c>
      <c r="H35" s="4">
        <v>0.93223</v>
      </c>
      <c r="I35" s="4">
        <v>0.59301999999999999</v>
      </c>
      <c r="K35" s="4"/>
      <c r="L35" s="4"/>
      <c r="M35" s="4"/>
    </row>
    <row r="36" spans="2:14">
      <c r="B36">
        <v>49</v>
      </c>
      <c r="C36" s="4">
        <v>11.899419999999999</v>
      </c>
      <c r="D36" s="4"/>
      <c r="F36">
        <v>49</v>
      </c>
      <c r="G36" s="4">
        <v>10.39686</v>
      </c>
      <c r="H36" s="4">
        <v>0.89946000000000004</v>
      </c>
      <c r="I36" s="4">
        <v>0.60309999999999997</v>
      </c>
      <c r="K36" s="4"/>
      <c r="L36" s="4"/>
      <c r="M36" s="4"/>
    </row>
    <row r="37" spans="2:14">
      <c r="B37">
        <v>50</v>
      </c>
      <c r="C37" s="4">
        <v>12.11567</v>
      </c>
      <c r="D37" s="4"/>
      <c r="F37">
        <v>50</v>
      </c>
      <c r="G37" s="4">
        <v>10.659649999999999</v>
      </c>
      <c r="H37" s="4">
        <v>0.84565999999999997</v>
      </c>
      <c r="I37" s="4">
        <v>0.61036000000000001</v>
      </c>
      <c r="K37" s="4"/>
      <c r="L37" s="4"/>
      <c r="M37" s="4"/>
    </row>
    <row r="38" spans="2:14">
      <c r="B38">
        <v>51</v>
      </c>
      <c r="C38" s="4">
        <v>12.356780000000001</v>
      </c>
      <c r="D38" s="4"/>
      <c r="F38">
        <v>51</v>
      </c>
      <c r="G38" s="4">
        <v>10.939590000000001</v>
      </c>
      <c r="H38" s="4">
        <v>0.80088999999999999</v>
      </c>
      <c r="I38" s="4">
        <v>0.61631000000000002</v>
      </c>
      <c r="K38" s="4"/>
      <c r="L38" s="4"/>
      <c r="M38" s="4"/>
    </row>
    <row r="39" spans="2:14">
      <c r="B39">
        <v>52</v>
      </c>
      <c r="C39" s="4">
        <v>12.58606</v>
      </c>
      <c r="D39" s="4"/>
      <c r="F39">
        <v>52</v>
      </c>
      <c r="G39" s="4">
        <v>11.21</v>
      </c>
      <c r="H39" s="4">
        <v>0.75109000000000004</v>
      </c>
      <c r="I39" s="4">
        <v>0.62497000000000003</v>
      </c>
      <c r="K39" s="4"/>
      <c r="L39" s="4"/>
      <c r="M39" s="4"/>
    </row>
    <row r="40" spans="2:14">
      <c r="B40">
        <v>53</v>
      </c>
      <c r="C40" s="4">
        <v>12.810890000000001</v>
      </c>
      <c r="D40" s="4"/>
      <c r="F40">
        <v>53</v>
      </c>
      <c r="G40" s="4">
        <v>11.499549999999999</v>
      </c>
      <c r="H40" s="4">
        <v>0.68079999999999996</v>
      </c>
      <c r="I40" s="4">
        <v>0.63055000000000005</v>
      </c>
      <c r="K40" s="4"/>
      <c r="L40" s="4"/>
      <c r="M40" s="4"/>
    </row>
    <row r="41" spans="2:14">
      <c r="B41">
        <v>54</v>
      </c>
      <c r="C41" s="4">
        <v>13.0777</v>
      </c>
      <c r="D41" s="4"/>
      <c r="F41">
        <v>54</v>
      </c>
      <c r="G41" s="4">
        <v>11.82288</v>
      </c>
      <c r="H41" s="4">
        <v>0.61941999999999997</v>
      </c>
      <c r="I41" s="4">
        <v>0.63539999999999996</v>
      </c>
      <c r="K41" s="4"/>
      <c r="L41" s="4"/>
      <c r="M41" s="4"/>
    </row>
    <row r="42" spans="2:14">
      <c r="B42">
        <v>55</v>
      </c>
      <c r="C42" s="4">
        <v>13.31991</v>
      </c>
      <c r="D42" s="4"/>
      <c r="F42">
        <v>55</v>
      </c>
      <c r="G42" s="4">
        <v>12.12543</v>
      </c>
      <c r="H42" s="4">
        <v>0.55245999999999995</v>
      </c>
      <c r="I42" s="4">
        <v>0.64202000000000004</v>
      </c>
      <c r="K42" s="4"/>
      <c r="L42" s="4"/>
      <c r="M42" s="4"/>
    </row>
    <row r="43" spans="2:14">
      <c r="B43">
        <v>56</v>
      </c>
      <c r="C43" s="4">
        <v>13.564439999999999</v>
      </c>
      <c r="D43" s="4"/>
      <c r="F43">
        <v>56</v>
      </c>
      <c r="G43" s="4">
        <v>12.451219999999999</v>
      </c>
      <c r="H43" s="4">
        <v>0.46797</v>
      </c>
      <c r="I43" s="4">
        <v>0.64525999999999994</v>
      </c>
      <c r="K43" s="4"/>
      <c r="L43" s="4"/>
      <c r="M43" s="4"/>
    </row>
    <row r="44" spans="2:14">
      <c r="B44">
        <v>57</v>
      </c>
      <c r="C44" s="4">
        <v>13.83878</v>
      </c>
      <c r="D44" s="4"/>
      <c r="F44">
        <v>57</v>
      </c>
      <c r="G44" s="4">
        <v>12.785220000000001</v>
      </c>
      <c r="H44" s="4">
        <v>0.40406999999999998</v>
      </c>
      <c r="I44" s="4">
        <v>0.64949000000000001</v>
      </c>
      <c r="K44" s="4"/>
      <c r="L44" s="4"/>
      <c r="M44" s="4"/>
    </row>
    <row r="45" spans="2:14">
      <c r="B45">
        <v>58</v>
      </c>
      <c r="C45" s="4">
        <v>14.10172</v>
      </c>
      <c r="D45" s="4"/>
      <c r="F45">
        <v>58</v>
      </c>
      <c r="G45" s="4">
        <v>13.109360000000001</v>
      </c>
      <c r="H45" s="4">
        <v>0.33654000000000001</v>
      </c>
      <c r="I45" s="4">
        <v>0.65581999999999996</v>
      </c>
      <c r="K45" s="4"/>
      <c r="L45" s="4"/>
      <c r="M45" s="4"/>
    </row>
    <row r="46" spans="2:14">
      <c r="B46">
        <v>59</v>
      </c>
      <c r="C46" s="4">
        <v>14.521100000000001</v>
      </c>
      <c r="D46" s="4"/>
      <c r="F46">
        <v>59</v>
      </c>
      <c r="G46" s="4">
        <v>13.62162</v>
      </c>
      <c r="H46" s="4">
        <v>0.23979</v>
      </c>
      <c r="I46" s="4">
        <v>0.65969</v>
      </c>
      <c r="K46" s="4"/>
      <c r="L46" s="4"/>
      <c r="M46" s="4"/>
    </row>
    <row r="47" spans="2:14">
      <c r="B47">
        <v>60</v>
      </c>
      <c r="C47" s="4">
        <v>15.01094</v>
      </c>
      <c r="D47" s="4"/>
      <c r="F47">
        <v>60</v>
      </c>
      <c r="G47" s="4">
        <v>14.20044</v>
      </c>
      <c r="H47" s="4">
        <v>0.15051999999999999</v>
      </c>
      <c r="I47" s="4">
        <v>0.65998000000000001</v>
      </c>
      <c r="K47" s="4"/>
      <c r="L47" s="4"/>
      <c r="M47" s="4"/>
      <c r="N47" s="4"/>
    </row>
    <row r="48" spans="2:14">
      <c r="B48" s="125">
        <v>61</v>
      </c>
      <c r="C48" s="129">
        <v>15.49203</v>
      </c>
      <c r="D48" s="129"/>
      <c r="E48" s="125"/>
      <c r="F48" s="125">
        <v>61</v>
      </c>
      <c r="G48" s="129">
        <v>14.756779999999999</v>
      </c>
      <c r="H48" s="129">
        <v>7.4770000000000003E-2</v>
      </c>
      <c r="I48" s="129">
        <v>0.66049000000000002</v>
      </c>
      <c r="J48" s="125"/>
      <c r="K48" s="4"/>
      <c r="L48" s="4"/>
      <c r="M48" s="4"/>
      <c r="N48" s="4"/>
    </row>
    <row r="49" spans="2:14">
      <c r="B49" s="125">
        <v>62</v>
      </c>
      <c r="C49" s="129">
        <v>16.024450000000002</v>
      </c>
      <c r="D49" s="129"/>
      <c r="E49" s="125"/>
      <c r="F49" s="125">
        <v>62</v>
      </c>
      <c r="G49" s="129">
        <v>15.344010000000001</v>
      </c>
      <c r="H49" s="129">
        <v>2.095E-2</v>
      </c>
      <c r="I49" s="129">
        <v>0.65949000000000002</v>
      </c>
      <c r="J49" s="125"/>
      <c r="K49" s="4"/>
      <c r="L49" s="4"/>
      <c r="M49" s="4"/>
      <c r="N49" s="22"/>
    </row>
    <row r="50" spans="2:14">
      <c r="B50">
        <v>63</v>
      </c>
      <c r="C50" s="4">
        <v>16.62537</v>
      </c>
      <c r="D50" s="4"/>
      <c r="F50">
        <v>63</v>
      </c>
      <c r="G50" s="4">
        <v>15.971869999999999</v>
      </c>
      <c r="H50" s="4">
        <v>0</v>
      </c>
      <c r="I50" s="4">
        <v>0.65349999999999997</v>
      </c>
      <c r="K50" s="4"/>
      <c r="L50" s="4"/>
      <c r="M50" s="4"/>
      <c r="N50" s="22"/>
    </row>
    <row r="51" spans="2:14">
      <c r="B51">
        <v>64</v>
      </c>
      <c r="C51" s="4">
        <v>16.833089999999999</v>
      </c>
      <c r="D51" s="4"/>
      <c r="F51">
        <v>64</v>
      </c>
      <c r="G51" s="4">
        <v>16.182169999999999</v>
      </c>
      <c r="H51" s="4">
        <v>0</v>
      </c>
      <c r="I51" s="4">
        <v>0.65092000000000005</v>
      </c>
      <c r="K51" s="4"/>
      <c r="L51" s="4"/>
      <c r="M51" s="4"/>
    </row>
    <row r="52" spans="2:14">
      <c r="B52">
        <v>65</v>
      </c>
      <c r="C52" s="4">
        <v>16.404260000000001</v>
      </c>
      <c r="D52" s="4"/>
      <c r="F52">
        <v>65</v>
      </c>
      <c r="G52" s="4">
        <v>15.754849999999999</v>
      </c>
      <c r="H52" s="4">
        <v>0</v>
      </c>
      <c r="I52" s="4">
        <v>0.64941000000000004</v>
      </c>
      <c r="K52" s="4"/>
      <c r="L52" s="4"/>
      <c r="M52" s="4"/>
    </row>
    <row r="53" spans="2:14">
      <c r="B53">
        <v>66</v>
      </c>
      <c r="C53" s="4">
        <v>16.03876</v>
      </c>
      <c r="D53" s="4"/>
      <c r="F53">
        <v>66</v>
      </c>
      <c r="G53" s="4">
        <v>15.39321</v>
      </c>
      <c r="H53" s="4">
        <v>0</v>
      </c>
      <c r="I53" s="4">
        <v>0.64554</v>
      </c>
      <c r="K53" s="4"/>
      <c r="L53" s="4"/>
      <c r="M53" s="4"/>
    </row>
    <row r="54" spans="2:14">
      <c r="B54">
        <v>67</v>
      </c>
      <c r="C54" s="4">
        <v>15.615349999999999</v>
      </c>
      <c r="D54" s="4"/>
      <c r="F54">
        <v>67</v>
      </c>
      <c r="G54" s="4">
        <v>14.974309999999999</v>
      </c>
      <c r="H54" s="4">
        <v>0</v>
      </c>
      <c r="I54" s="4">
        <v>0.64104000000000005</v>
      </c>
      <c r="K54" s="4"/>
      <c r="L54" s="4"/>
      <c r="M54" s="4"/>
    </row>
    <row r="55" spans="2:14">
      <c r="B55">
        <v>68</v>
      </c>
      <c r="C55" s="4">
        <v>15.17403</v>
      </c>
      <c r="D55" s="4"/>
      <c r="F55">
        <v>68</v>
      </c>
      <c r="G55" s="4">
        <v>14.540039999999999</v>
      </c>
      <c r="H55" s="4">
        <v>0</v>
      </c>
      <c r="I55" s="4">
        <v>0.63399000000000005</v>
      </c>
      <c r="K55" s="4"/>
      <c r="L55" s="4"/>
      <c r="M55" s="4"/>
    </row>
    <row r="56" spans="2:14">
      <c r="B56">
        <v>69</v>
      </c>
      <c r="C56" s="4">
        <v>14.76454</v>
      </c>
      <c r="D56" s="4"/>
      <c r="F56">
        <v>69</v>
      </c>
      <c r="G56" s="4">
        <v>14.14118</v>
      </c>
      <c r="H56" s="4">
        <v>0</v>
      </c>
      <c r="I56" s="4">
        <v>0.62336000000000003</v>
      </c>
      <c r="K56" s="4"/>
      <c r="L56" s="4"/>
      <c r="M56" s="4"/>
    </row>
    <row r="57" spans="2:14">
      <c r="B57">
        <v>70</v>
      </c>
      <c r="C57" s="4">
        <v>14.29508</v>
      </c>
      <c r="D57" s="4"/>
      <c r="F57">
        <v>70</v>
      </c>
      <c r="G57" s="4">
        <v>13.67737</v>
      </c>
      <c r="H57" s="4">
        <v>0</v>
      </c>
      <c r="I57" s="4">
        <v>0.61770999999999998</v>
      </c>
      <c r="K57" s="4"/>
      <c r="L57" s="4"/>
      <c r="M57" s="4"/>
    </row>
    <row r="59" spans="2:14">
      <c r="B59" s="113"/>
    </row>
    <row r="60" spans="2:14">
      <c r="C60" s="113" t="s">
        <v>129</v>
      </c>
      <c r="D60" s="113" t="s">
        <v>130</v>
      </c>
    </row>
    <row r="61" spans="2:14">
      <c r="B61" s="113" t="s">
        <v>123</v>
      </c>
      <c r="C61" s="113" t="s">
        <v>131</v>
      </c>
      <c r="D61" s="113" t="s">
        <v>133</v>
      </c>
      <c r="E61" s="113" t="s">
        <v>133</v>
      </c>
    </row>
    <row r="62" spans="2:14">
      <c r="B62">
        <v>18</v>
      </c>
      <c r="C62" s="4">
        <v>7.0495099999999997</v>
      </c>
      <c r="D62" s="117">
        <v>0.93757999999999997</v>
      </c>
      <c r="E62" s="4">
        <v>3.5569999999999997E-2</v>
      </c>
      <c r="G62" s="4"/>
      <c r="H62" s="4"/>
      <c r="I62" s="4"/>
    </row>
    <row r="63" spans="2:14">
      <c r="B63">
        <v>19</v>
      </c>
      <c r="C63" s="4">
        <v>7.1819100000000002</v>
      </c>
      <c r="D63" s="117">
        <v>0.96682999999999997</v>
      </c>
      <c r="E63" s="4">
        <v>3.6929999999999998E-2</v>
      </c>
      <c r="G63" s="4"/>
      <c r="H63" s="4"/>
      <c r="I63" s="4"/>
    </row>
    <row r="64" spans="2:14">
      <c r="B64">
        <v>20</v>
      </c>
      <c r="C64" s="4">
        <v>7.3162000000000003</v>
      </c>
      <c r="D64" s="117">
        <v>0.99692000000000003</v>
      </c>
      <c r="E64" s="4">
        <v>3.8309999999999997E-2</v>
      </c>
      <c r="G64" s="4"/>
      <c r="H64" s="4"/>
      <c r="I64" s="4"/>
    </row>
    <row r="65" spans="2:9">
      <c r="B65">
        <v>21</v>
      </c>
      <c r="C65" s="4">
        <v>7.4543600000000003</v>
      </c>
      <c r="D65" s="117">
        <v>1.0230600000000001</v>
      </c>
      <c r="E65" s="4">
        <v>3.9399999999999998E-2</v>
      </c>
      <c r="G65" s="4"/>
      <c r="H65" s="4"/>
      <c r="I65" s="4"/>
    </row>
    <row r="66" spans="2:9">
      <c r="B66">
        <v>22</v>
      </c>
      <c r="C66" s="4">
        <v>7.5925500000000001</v>
      </c>
      <c r="D66" s="117">
        <v>1.0546</v>
      </c>
      <c r="E66" s="4">
        <v>4.0809999999999999E-2</v>
      </c>
      <c r="G66" s="4"/>
      <c r="H66" s="4"/>
      <c r="I66" s="4"/>
    </row>
    <row r="67" spans="2:9">
      <c r="B67">
        <v>23</v>
      </c>
      <c r="C67" s="4">
        <v>7.7326100000000002</v>
      </c>
      <c r="D67" s="117">
        <v>1.08683</v>
      </c>
      <c r="E67" s="4">
        <v>4.2209999999999998E-2</v>
      </c>
      <c r="G67" s="4"/>
      <c r="H67" s="4"/>
      <c r="I67" s="4"/>
    </row>
    <row r="68" spans="2:9">
      <c r="B68">
        <v>24</v>
      </c>
      <c r="C68" s="4">
        <v>7.8948600000000004</v>
      </c>
      <c r="D68" s="117">
        <v>1.11374</v>
      </c>
      <c r="E68" s="4">
        <v>4.3189999999999999E-2</v>
      </c>
      <c r="G68" s="4"/>
      <c r="H68" s="4"/>
      <c r="I68" s="4"/>
    </row>
    <row r="69" spans="2:9">
      <c r="B69">
        <v>25</v>
      </c>
      <c r="C69" s="4">
        <v>8.0420700000000007</v>
      </c>
      <c r="D69" s="117">
        <v>1.14689</v>
      </c>
      <c r="E69" s="4">
        <v>4.4470000000000003E-2</v>
      </c>
      <c r="G69" s="4"/>
      <c r="H69" s="4"/>
      <c r="I69" s="4"/>
    </row>
    <row r="70" spans="2:9">
      <c r="B70">
        <v>26</v>
      </c>
      <c r="C70" s="4">
        <v>8.1912099999999999</v>
      </c>
      <c r="D70" s="117">
        <v>1.18041</v>
      </c>
      <c r="E70" s="4">
        <v>4.5629999999999997E-2</v>
      </c>
      <c r="G70" s="4"/>
      <c r="H70" s="4"/>
      <c r="I70" s="4"/>
    </row>
    <row r="71" spans="2:9">
      <c r="B71">
        <v>27</v>
      </c>
      <c r="C71" s="4">
        <v>8.34422</v>
      </c>
      <c r="D71" s="117">
        <v>1.2086699999999999</v>
      </c>
      <c r="E71" s="4">
        <v>4.6300000000000001E-2</v>
      </c>
      <c r="G71" s="4"/>
      <c r="H71" s="4"/>
      <c r="I71" s="4"/>
    </row>
    <row r="72" spans="2:9">
      <c r="B72">
        <v>28</v>
      </c>
      <c r="C72" s="4">
        <v>8.4973200000000002</v>
      </c>
      <c r="D72" s="117">
        <v>1.24251</v>
      </c>
      <c r="E72" s="4">
        <v>4.7149999999999997E-2</v>
      </c>
      <c r="G72" s="4"/>
      <c r="H72" s="4"/>
      <c r="I72" s="4"/>
    </row>
    <row r="73" spans="2:9">
      <c r="B73">
        <v>29</v>
      </c>
      <c r="C73" s="4">
        <v>8.6522299999999994</v>
      </c>
      <c r="D73" s="117">
        <v>1.2764500000000001</v>
      </c>
      <c r="E73" s="4">
        <v>4.7800000000000002E-2</v>
      </c>
      <c r="G73" s="4"/>
      <c r="H73" s="4"/>
      <c r="I73" s="4"/>
    </row>
    <row r="74" spans="2:9">
      <c r="B74">
        <v>30</v>
      </c>
      <c r="C74" s="4">
        <v>8.8314500000000002</v>
      </c>
      <c r="D74" s="117">
        <v>1.3036799999999999</v>
      </c>
      <c r="E74" s="4">
        <v>4.7800000000000002E-2</v>
      </c>
      <c r="G74" s="4"/>
      <c r="H74" s="4"/>
      <c r="I74" s="4"/>
    </row>
    <row r="75" spans="2:9">
      <c r="B75">
        <v>31</v>
      </c>
      <c r="C75" s="4">
        <v>8.9920500000000008</v>
      </c>
      <c r="D75" s="117">
        <v>1.33745</v>
      </c>
      <c r="E75" s="4">
        <v>4.7969999999999999E-2</v>
      </c>
      <c r="G75" s="4"/>
      <c r="H75" s="4"/>
      <c r="I75" s="4"/>
    </row>
    <row r="76" spans="2:9">
      <c r="B76">
        <v>32</v>
      </c>
      <c r="C76" s="4">
        <v>9.1543899999999994</v>
      </c>
      <c r="D76" s="117">
        <v>1.37114</v>
      </c>
      <c r="E76" s="4">
        <v>4.7849999999999997E-2</v>
      </c>
      <c r="G76" s="4"/>
      <c r="H76" s="4"/>
      <c r="I76" s="4"/>
    </row>
    <row r="77" spans="2:9">
      <c r="B77">
        <v>33</v>
      </c>
      <c r="C77" s="4">
        <v>9.3418799999999997</v>
      </c>
      <c r="D77" s="117">
        <v>1.39761</v>
      </c>
      <c r="E77" s="4">
        <v>4.7050000000000002E-2</v>
      </c>
      <c r="G77" s="4"/>
      <c r="H77" s="4"/>
      <c r="I77" s="4"/>
    </row>
    <row r="78" spans="2:9">
      <c r="B78">
        <v>34</v>
      </c>
      <c r="C78" s="4">
        <v>9.5083300000000008</v>
      </c>
      <c r="D78" s="117">
        <v>1.43089</v>
      </c>
      <c r="E78" s="4">
        <v>4.6370000000000001E-2</v>
      </c>
      <c r="G78" s="4"/>
      <c r="H78" s="4"/>
      <c r="I78" s="4"/>
    </row>
    <row r="79" spans="2:9">
      <c r="B79">
        <v>35</v>
      </c>
      <c r="C79" s="4">
        <v>9.6776900000000001</v>
      </c>
      <c r="D79" s="117">
        <v>1.4639800000000001</v>
      </c>
      <c r="E79" s="4">
        <v>4.5429999999999998E-2</v>
      </c>
      <c r="G79" s="4"/>
      <c r="H79" s="4"/>
      <c r="I79" s="4"/>
    </row>
    <row r="80" spans="2:9">
      <c r="B80">
        <v>36</v>
      </c>
      <c r="C80" s="4">
        <v>9.8740900000000007</v>
      </c>
      <c r="D80" s="117">
        <v>1.4894400000000001</v>
      </c>
      <c r="E80" s="4">
        <v>4.3810000000000002E-2</v>
      </c>
      <c r="G80" s="4"/>
      <c r="H80" s="4"/>
      <c r="I80" s="4"/>
    </row>
    <row r="81" spans="2:9">
      <c r="B81">
        <v>37</v>
      </c>
      <c r="C81" s="4">
        <v>10.049340000000001</v>
      </c>
      <c r="D81" s="117">
        <v>1.52197</v>
      </c>
      <c r="E81" s="4">
        <v>4.2369999999999998E-2</v>
      </c>
      <c r="G81" s="4"/>
      <c r="H81" s="4"/>
      <c r="I81" s="4"/>
    </row>
    <row r="82" spans="2:9">
      <c r="B82">
        <v>38</v>
      </c>
      <c r="C82" s="4">
        <v>10.225910000000001</v>
      </c>
      <c r="D82" s="117">
        <v>1.5541799999999999</v>
      </c>
      <c r="E82" s="4">
        <v>4.0680000000000001E-2</v>
      </c>
      <c r="G82" s="4"/>
      <c r="H82" s="4"/>
      <c r="I82" s="4"/>
    </row>
    <row r="83" spans="2:9">
      <c r="B83">
        <v>39</v>
      </c>
      <c r="C83" s="4">
        <v>10.42971</v>
      </c>
      <c r="D83" s="117">
        <v>1.5784800000000001</v>
      </c>
      <c r="E83" s="4">
        <v>3.8469999999999997E-2</v>
      </c>
      <c r="G83" s="4"/>
      <c r="H83" s="4"/>
      <c r="I83" s="4"/>
    </row>
    <row r="84" spans="2:9">
      <c r="B84">
        <v>40</v>
      </c>
      <c r="C84" s="4">
        <v>10.60952</v>
      </c>
      <c r="D84" s="117">
        <v>1.6099699999999999</v>
      </c>
      <c r="E84" s="4">
        <v>3.6450000000000003E-2</v>
      </c>
      <c r="G84" s="4"/>
      <c r="H84" s="4"/>
      <c r="I84" s="4"/>
    </row>
    <row r="85" spans="2:9">
      <c r="B85">
        <v>41</v>
      </c>
      <c r="C85" s="4">
        <v>10.790240000000001</v>
      </c>
      <c r="D85" s="117">
        <v>1.64107</v>
      </c>
      <c r="E85" s="4">
        <v>3.4320000000000003E-2</v>
      </c>
      <c r="G85" s="4"/>
      <c r="H85" s="4"/>
      <c r="I85" s="4"/>
    </row>
    <row r="86" spans="2:9">
      <c r="B86">
        <v>42</v>
      </c>
      <c r="C86" s="4">
        <v>11.00135</v>
      </c>
      <c r="D86" s="117">
        <v>1.6639200000000001</v>
      </c>
      <c r="E86" s="4">
        <v>3.1800000000000002E-2</v>
      </c>
      <c r="G86" s="4"/>
      <c r="H86" s="4"/>
      <c r="I86" s="4"/>
    </row>
    <row r="87" spans="2:9">
      <c r="B87">
        <v>43</v>
      </c>
      <c r="C87" s="4">
        <v>11.186310000000001</v>
      </c>
      <c r="D87" s="117">
        <v>1.69398</v>
      </c>
      <c r="E87" s="4">
        <v>2.955E-2</v>
      </c>
      <c r="G87" s="4"/>
      <c r="H87" s="4"/>
      <c r="I87" s="4"/>
    </row>
    <row r="88" spans="2:9">
      <c r="B88">
        <v>44</v>
      </c>
      <c r="C88" s="4">
        <v>11.401070000000001</v>
      </c>
      <c r="D88" s="117">
        <v>1.7222999999999999</v>
      </c>
      <c r="E88" s="4">
        <v>2.725E-2</v>
      </c>
      <c r="G88" s="4"/>
      <c r="H88" s="4"/>
      <c r="I88" s="4"/>
    </row>
    <row r="89" spans="2:9">
      <c r="B89">
        <v>45</v>
      </c>
      <c r="C89" s="4">
        <v>11.618589999999999</v>
      </c>
      <c r="D89" s="117">
        <v>1.74318</v>
      </c>
      <c r="E89" s="4">
        <v>2.478E-2</v>
      </c>
      <c r="G89" s="4"/>
      <c r="H89" s="4"/>
      <c r="I89" s="4"/>
    </row>
    <row r="90" spans="2:9">
      <c r="B90">
        <v>46</v>
      </c>
      <c r="C90" s="4">
        <v>11.80686</v>
      </c>
      <c r="D90" s="117">
        <v>1.77111</v>
      </c>
      <c r="E90" s="4">
        <v>2.256E-2</v>
      </c>
      <c r="G90" s="4"/>
      <c r="H90" s="4"/>
      <c r="I90" s="4"/>
    </row>
    <row r="91" spans="2:9">
      <c r="B91">
        <v>47</v>
      </c>
      <c r="C91" s="4">
        <v>11.995240000000001</v>
      </c>
      <c r="D91" s="117">
        <v>1.7981499999999999</v>
      </c>
      <c r="E91" s="4">
        <v>2.043E-2</v>
      </c>
      <c r="G91" s="4"/>
      <c r="H91" s="4"/>
      <c r="I91" s="4"/>
    </row>
    <row r="92" spans="2:9">
      <c r="B92">
        <v>48</v>
      </c>
      <c r="C92" s="4">
        <v>12.21888</v>
      </c>
      <c r="D92" s="117">
        <v>1.8161700000000001</v>
      </c>
      <c r="E92" s="4">
        <v>1.821E-2</v>
      </c>
      <c r="G92" s="4"/>
      <c r="H92" s="4"/>
      <c r="I92" s="4"/>
    </row>
    <row r="93" spans="2:9">
      <c r="B93">
        <v>49</v>
      </c>
      <c r="C93" s="4">
        <v>12.413539999999999</v>
      </c>
      <c r="D93" s="117">
        <v>1.84097</v>
      </c>
      <c r="E93" s="4">
        <v>1.6299999999999999E-2</v>
      </c>
      <c r="G93" s="4"/>
      <c r="H93" s="4"/>
      <c r="I93" s="4"/>
    </row>
    <row r="94" spans="2:9">
      <c r="B94">
        <v>50</v>
      </c>
      <c r="C94" s="4">
        <v>12.6432</v>
      </c>
      <c r="D94" s="117">
        <v>1.8631200000000001</v>
      </c>
      <c r="E94" s="4">
        <v>1.447E-2</v>
      </c>
      <c r="G94" s="4"/>
      <c r="H94" s="4"/>
      <c r="I94" s="4"/>
    </row>
    <row r="95" spans="2:9">
      <c r="B95">
        <v>51</v>
      </c>
      <c r="C95" s="4">
        <v>12.873329999999999</v>
      </c>
      <c r="D95" s="117">
        <v>1.8771500000000001</v>
      </c>
      <c r="E95" s="4">
        <v>1.268E-2</v>
      </c>
      <c r="G95" s="4"/>
      <c r="H95" s="4"/>
      <c r="I95" s="4"/>
    </row>
    <row r="96" spans="2:9">
      <c r="B96">
        <v>52</v>
      </c>
      <c r="C96" s="4">
        <v>13.072229999999999</v>
      </c>
      <c r="D96" s="117">
        <v>1.8973</v>
      </c>
      <c r="E96" s="4">
        <v>1.112E-2</v>
      </c>
      <c r="G96" s="4"/>
      <c r="H96" s="4"/>
      <c r="I96" s="4"/>
    </row>
    <row r="97" spans="2:9">
      <c r="B97">
        <v>53</v>
      </c>
      <c r="C97" s="4">
        <v>13.31185</v>
      </c>
      <c r="D97" s="117">
        <v>1.9142300000000001</v>
      </c>
      <c r="E97" s="4">
        <v>9.7099999999999999E-3</v>
      </c>
      <c r="G97" s="4"/>
      <c r="H97" s="4"/>
      <c r="I97" s="4"/>
    </row>
    <row r="98" spans="2:9">
      <c r="B98">
        <v>54</v>
      </c>
      <c r="C98" s="4">
        <v>13.553699999999999</v>
      </c>
      <c r="D98" s="117">
        <v>1.92265</v>
      </c>
      <c r="E98" s="4">
        <v>8.3499999999999998E-3</v>
      </c>
      <c r="G98" s="4"/>
      <c r="H98" s="4"/>
      <c r="I98" s="4"/>
    </row>
    <row r="99" spans="2:9">
      <c r="B99">
        <v>55</v>
      </c>
      <c r="C99" s="4">
        <v>13.76535</v>
      </c>
      <c r="D99" s="117">
        <v>1.9363699999999999</v>
      </c>
      <c r="E99" s="4">
        <v>7.1999999999999998E-3</v>
      </c>
      <c r="G99" s="4"/>
      <c r="H99" s="4"/>
      <c r="I99" s="4"/>
    </row>
    <row r="100" spans="2:9">
      <c r="B100">
        <v>56</v>
      </c>
      <c r="C100" s="4">
        <v>14.02735</v>
      </c>
      <c r="D100" s="117">
        <v>1.9461299999999999</v>
      </c>
      <c r="E100" s="4">
        <v>6.1599999999999997E-3</v>
      </c>
      <c r="G100" s="4"/>
      <c r="H100" s="4"/>
      <c r="I100" s="4"/>
    </row>
    <row r="101" spans="2:9">
      <c r="B101">
        <v>57</v>
      </c>
      <c r="C101" s="4">
        <v>14.24329</v>
      </c>
      <c r="D101" s="117">
        <v>1.9483200000000001</v>
      </c>
      <c r="E101" s="4">
        <v>5.2100000000000002E-3</v>
      </c>
      <c r="G101" s="4"/>
      <c r="H101" s="4"/>
      <c r="I101" s="4"/>
    </row>
    <row r="102" spans="2:9">
      <c r="B102">
        <v>58</v>
      </c>
      <c r="C102" s="4">
        <v>14.42693</v>
      </c>
      <c r="D102" s="117">
        <v>1.9546399999999999</v>
      </c>
      <c r="E102" s="4">
        <v>4.3899999999999998E-3</v>
      </c>
      <c r="G102" s="4"/>
      <c r="H102" s="4"/>
      <c r="I102" s="4"/>
    </row>
    <row r="103" spans="2:9">
      <c r="B103">
        <v>59</v>
      </c>
      <c r="C103" s="4">
        <v>14.777620000000001</v>
      </c>
      <c r="D103" s="117">
        <v>1.9536100000000001</v>
      </c>
      <c r="E103" s="4">
        <v>3.7000000000000002E-3</v>
      </c>
      <c r="G103" s="4"/>
      <c r="H103" s="4"/>
      <c r="I103" s="4"/>
    </row>
    <row r="104" spans="2:9">
      <c r="B104">
        <v>60</v>
      </c>
      <c r="C104" s="4">
        <v>15.20229</v>
      </c>
      <c r="D104" s="117">
        <v>1.9420299999999999</v>
      </c>
      <c r="E104" s="4">
        <v>3.0300000000000001E-3</v>
      </c>
      <c r="G104" s="4"/>
      <c r="H104" s="4"/>
      <c r="I104" s="4"/>
    </row>
    <row r="105" spans="2:9">
      <c r="B105" s="125">
        <v>61</v>
      </c>
      <c r="C105" s="129">
        <v>15.6286</v>
      </c>
      <c r="D105" s="131">
        <v>1.93329</v>
      </c>
      <c r="E105" s="129">
        <v>2.5100000000000001E-3</v>
      </c>
      <c r="G105" s="4"/>
      <c r="H105" s="4"/>
      <c r="I105" s="4"/>
    </row>
    <row r="106" spans="2:9">
      <c r="B106">
        <v>62</v>
      </c>
      <c r="C106" s="4">
        <v>16.105149999999998</v>
      </c>
      <c r="D106" s="117">
        <v>1.9201600000000001</v>
      </c>
      <c r="E106" s="4">
        <v>2.0300000000000001E-3</v>
      </c>
      <c r="G106" s="4"/>
      <c r="H106" s="4"/>
      <c r="I106" s="4"/>
    </row>
    <row r="107" spans="2:9">
      <c r="B107">
        <v>63</v>
      </c>
      <c r="C107" s="4">
        <v>16.685680000000001</v>
      </c>
      <c r="D107" s="117">
        <v>1.8964099999999999</v>
      </c>
      <c r="E107" s="4">
        <v>1.64E-3</v>
      </c>
      <c r="G107" s="4"/>
      <c r="H107" s="4"/>
      <c r="I107" s="4"/>
    </row>
    <row r="108" spans="2:9">
      <c r="B108">
        <v>64</v>
      </c>
      <c r="C108" s="4">
        <v>16.838539999999998</v>
      </c>
      <c r="D108" s="117">
        <v>1.8814500000000001</v>
      </c>
      <c r="E108" s="4">
        <v>1.2899999999999999E-3</v>
      </c>
      <c r="G108" s="4"/>
      <c r="H108" s="4"/>
      <c r="I108" s="4"/>
    </row>
    <row r="109" spans="2:9">
      <c r="B109">
        <v>65</v>
      </c>
      <c r="C109" s="4">
        <v>16.352709999999998</v>
      </c>
      <c r="D109" s="117">
        <v>1.8723700000000001</v>
      </c>
      <c r="E109" s="4">
        <v>1.0300000000000001E-3</v>
      </c>
      <c r="G109" s="4"/>
      <c r="H109" s="4"/>
      <c r="I109" s="4"/>
    </row>
    <row r="110" spans="2:9">
      <c r="B110">
        <v>66</v>
      </c>
      <c r="C110" s="4">
        <v>15.90208</v>
      </c>
      <c r="D110" s="117">
        <v>1.8524499999999999</v>
      </c>
      <c r="E110" s="4">
        <v>7.6999999999999996E-4</v>
      </c>
      <c r="G110" s="4"/>
      <c r="H110" s="4"/>
      <c r="I110" s="4"/>
    </row>
    <row r="111" spans="2:9">
      <c r="B111">
        <v>67</v>
      </c>
      <c r="C111" s="4">
        <v>15.405670000000001</v>
      </c>
      <c r="D111" s="117">
        <v>1.8319700000000001</v>
      </c>
      <c r="E111" s="4">
        <v>5.9000000000000003E-4</v>
      </c>
      <c r="G111" s="4"/>
      <c r="H111" s="4"/>
      <c r="I111" s="4"/>
    </row>
    <row r="112" spans="2:9">
      <c r="B112">
        <v>68</v>
      </c>
      <c r="C112" s="4">
        <v>14.904909999999999</v>
      </c>
      <c r="D112" s="117">
        <v>1.8052900000000001</v>
      </c>
      <c r="E112" s="4">
        <v>4.0000000000000002E-4</v>
      </c>
      <c r="G112" s="4"/>
      <c r="H112" s="4"/>
      <c r="I112" s="4"/>
    </row>
    <row r="113" spans="2:9">
      <c r="B113">
        <v>69</v>
      </c>
      <c r="C113" s="4">
        <v>14.442449999999999</v>
      </c>
      <c r="D113" s="117">
        <v>1.7684500000000001</v>
      </c>
      <c r="E113" s="4">
        <v>2.7999999999999998E-4</v>
      </c>
      <c r="G113" s="4"/>
      <c r="H113" s="4"/>
      <c r="I113" s="4"/>
    </row>
    <row r="114" spans="2:9">
      <c r="B114">
        <v>70</v>
      </c>
      <c r="C114" s="4">
        <v>13.906689999999999</v>
      </c>
      <c r="D114" s="117">
        <v>1.7446299999999999</v>
      </c>
      <c r="E114" s="4">
        <v>1.6000000000000001E-4</v>
      </c>
      <c r="G114" s="4"/>
      <c r="H114" s="4"/>
      <c r="I114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4"/>
  <dimension ref="B1:P114"/>
  <sheetViews>
    <sheetView workbookViewId="0">
      <selection activeCell="I16" sqref="I16"/>
    </sheetView>
  </sheetViews>
  <sheetFormatPr defaultColWidth="9.1796875" defaultRowHeight="12.5"/>
  <cols>
    <col min="1" max="1" width="9.1796875" style="125"/>
    <col min="2" max="2" width="10.1796875" style="125" bestFit="1" customWidth="1"/>
    <col min="3" max="7" width="9.1796875" style="125"/>
    <col min="8" max="8" width="13.7265625" style="125" bestFit="1" customWidth="1"/>
    <col min="9" max="9" width="10.54296875" style="125" bestFit="1" customWidth="1"/>
    <col min="10" max="10" width="9.1796875" style="125"/>
    <col min="11" max="11" width="13.81640625" style="125" bestFit="1" customWidth="1"/>
    <col min="12" max="12" width="13.7265625" style="125" bestFit="1" customWidth="1"/>
    <col min="13" max="16384" width="9.1796875" style="125"/>
  </cols>
  <sheetData>
    <row r="1" spans="2:16">
      <c r="B1" s="134">
        <v>44197</v>
      </c>
      <c r="D1" s="126"/>
    </row>
    <row r="2" spans="2:16">
      <c r="D2" s="127"/>
    </row>
    <row r="3" spans="2:16">
      <c r="B3" s="128"/>
      <c r="D3" s="127"/>
      <c r="G3" s="128" t="s">
        <v>128</v>
      </c>
    </row>
    <row r="4" spans="2:16">
      <c r="B4" s="128" t="s">
        <v>123</v>
      </c>
      <c r="C4" s="128" t="s">
        <v>124</v>
      </c>
      <c r="D4" s="128"/>
      <c r="F4" s="128" t="s">
        <v>123</v>
      </c>
      <c r="G4" s="128" t="s">
        <v>131</v>
      </c>
      <c r="H4" s="128" t="s">
        <v>132</v>
      </c>
      <c r="I4" s="128" t="s">
        <v>133</v>
      </c>
    </row>
    <row r="5" spans="2:16">
      <c r="B5" s="125">
        <v>18</v>
      </c>
      <c r="C5" s="129">
        <v>6.375</v>
      </c>
      <c r="D5" s="129"/>
      <c r="F5" s="125">
        <v>18</v>
      </c>
      <c r="G5" s="129">
        <v>5.2396500000000001</v>
      </c>
      <c r="H5" s="129">
        <v>0.84543000000000001</v>
      </c>
      <c r="I5" s="129">
        <v>0.28992000000000001</v>
      </c>
      <c r="K5" s="129"/>
      <c r="L5" s="129"/>
      <c r="M5" s="129"/>
      <c r="N5" s="129"/>
      <c r="O5" s="129"/>
      <c r="P5" s="129"/>
    </row>
    <row r="6" spans="2:16">
      <c r="B6" s="125">
        <v>19</v>
      </c>
      <c r="C6" s="129">
        <v>6.5211399999999999</v>
      </c>
      <c r="D6" s="129"/>
      <c r="F6" s="125">
        <v>19</v>
      </c>
      <c r="G6" s="129">
        <v>5.3538600000000001</v>
      </c>
      <c r="H6" s="129">
        <v>0.86868000000000001</v>
      </c>
      <c r="I6" s="129">
        <v>0.29859999999999998</v>
      </c>
      <c r="K6" s="129"/>
      <c r="L6" s="129"/>
      <c r="M6" s="129"/>
      <c r="N6" s="129"/>
      <c r="O6" s="129"/>
      <c r="P6" s="129"/>
    </row>
    <row r="7" spans="2:16">
      <c r="B7" s="125">
        <v>20</v>
      </c>
      <c r="C7" s="129">
        <v>6.6546399999999997</v>
      </c>
      <c r="D7" s="129"/>
      <c r="F7" s="125">
        <v>20</v>
      </c>
      <c r="G7" s="129">
        <v>5.4648000000000003</v>
      </c>
      <c r="H7" s="129">
        <v>0.88156999999999996</v>
      </c>
      <c r="I7" s="129">
        <v>0.30825999999999998</v>
      </c>
      <c r="K7" s="129"/>
      <c r="L7" s="129"/>
      <c r="M7" s="129"/>
      <c r="N7" s="129"/>
      <c r="O7" s="129"/>
      <c r="P7" s="129"/>
    </row>
    <row r="8" spans="2:16">
      <c r="B8" s="125">
        <v>21</v>
      </c>
      <c r="C8" s="129">
        <v>6.7825100000000003</v>
      </c>
      <c r="D8" s="129"/>
      <c r="F8" s="125">
        <v>21</v>
      </c>
      <c r="G8" s="129">
        <v>5.5712599999999997</v>
      </c>
      <c r="H8" s="129">
        <v>0.89342999999999995</v>
      </c>
      <c r="I8" s="129">
        <v>0.31783</v>
      </c>
      <c r="K8" s="129"/>
      <c r="L8" s="129"/>
      <c r="M8" s="129"/>
      <c r="N8" s="129"/>
      <c r="O8" s="129"/>
      <c r="P8" s="129"/>
    </row>
    <row r="9" spans="2:16">
      <c r="B9" s="125">
        <v>22</v>
      </c>
      <c r="C9" s="129">
        <v>6.9341100000000004</v>
      </c>
      <c r="D9" s="129"/>
      <c r="F9" s="125">
        <v>22</v>
      </c>
      <c r="G9" s="129">
        <v>5.7015900000000004</v>
      </c>
      <c r="H9" s="129">
        <v>0.90624000000000005</v>
      </c>
      <c r="I9" s="129">
        <v>0.32627</v>
      </c>
      <c r="K9" s="129"/>
      <c r="L9" s="129"/>
      <c r="M9" s="129"/>
      <c r="N9" s="129"/>
      <c r="O9" s="129"/>
      <c r="P9" s="129"/>
    </row>
    <row r="10" spans="2:16">
      <c r="B10" s="125">
        <v>23</v>
      </c>
      <c r="C10" s="129">
        <v>7.0745399999999998</v>
      </c>
      <c r="D10" s="129"/>
      <c r="F10" s="125">
        <v>23</v>
      </c>
      <c r="G10" s="129">
        <v>5.8189000000000002</v>
      </c>
      <c r="H10" s="129">
        <v>0.91900999999999999</v>
      </c>
      <c r="I10" s="129">
        <v>0.33663999999999999</v>
      </c>
      <c r="K10" s="129"/>
      <c r="L10" s="129"/>
      <c r="M10" s="129"/>
      <c r="N10" s="129"/>
      <c r="O10" s="129"/>
      <c r="P10" s="129"/>
    </row>
    <row r="11" spans="2:16">
      <c r="B11" s="125">
        <v>24</v>
      </c>
      <c r="C11" s="129">
        <v>7.2200899999999999</v>
      </c>
      <c r="D11" s="129"/>
      <c r="F11" s="125">
        <v>24</v>
      </c>
      <c r="G11" s="129">
        <v>5.9286899999999996</v>
      </c>
      <c r="H11" s="129">
        <v>0.94316</v>
      </c>
      <c r="I11" s="129">
        <v>0.34823999999999999</v>
      </c>
      <c r="K11" s="129"/>
      <c r="L11" s="129"/>
      <c r="M11" s="129"/>
      <c r="N11" s="129"/>
      <c r="O11" s="129"/>
      <c r="P11" s="129"/>
    </row>
    <row r="12" spans="2:16">
      <c r="B12" s="125">
        <v>25</v>
      </c>
      <c r="C12" s="129">
        <v>7.3808499999999997</v>
      </c>
      <c r="D12" s="129"/>
      <c r="F12" s="125">
        <v>25</v>
      </c>
      <c r="G12" s="129">
        <v>6.0678999999999998</v>
      </c>
      <c r="H12" s="129">
        <v>0.95581000000000005</v>
      </c>
      <c r="I12" s="129">
        <v>0.35714000000000001</v>
      </c>
      <c r="K12" s="129"/>
      <c r="L12" s="129"/>
      <c r="M12" s="129"/>
      <c r="N12" s="129"/>
      <c r="O12" s="129"/>
      <c r="P12" s="129"/>
    </row>
    <row r="13" spans="2:16">
      <c r="B13" s="125">
        <v>26</v>
      </c>
      <c r="C13" s="129">
        <v>7.5303599999999999</v>
      </c>
      <c r="D13" s="129"/>
      <c r="F13" s="125">
        <v>26</v>
      </c>
      <c r="G13" s="129">
        <v>6.1940999999999997</v>
      </c>
      <c r="H13" s="129">
        <v>0.96825000000000006</v>
      </c>
      <c r="I13" s="129">
        <v>0.36801</v>
      </c>
      <c r="K13" s="129"/>
      <c r="L13" s="129"/>
      <c r="M13" s="129"/>
      <c r="N13" s="129"/>
      <c r="O13" s="129"/>
      <c r="P13" s="129"/>
    </row>
    <row r="14" spans="2:16">
      <c r="B14" s="125">
        <v>27</v>
      </c>
      <c r="C14" s="129">
        <v>7.6819699999999997</v>
      </c>
      <c r="D14" s="129"/>
      <c r="F14" s="125">
        <v>27</v>
      </c>
      <c r="G14" s="129">
        <v>6.3225499999999997</v>
      </c>
      <c r="H14" s="129">
        <v>0.98041999999999996</v>
      </c>
      <c r="I14" s="129">
        <v>0.379</v>
      </c>
      <c r="K14" s="129"/>
      <c r="L14" s="129"/>
      <c r="M14" s="129"/>
      <c r="N14" s="129"/>
      <c r="O14" s="129"/>
      <c r="P14" s="129"/>
    </row>
    <row r="15" spans="2:16">
      <c r="B15" s="125">
        <v>28</v>
      </c>
      <c r="C15" s="129">
        <v>7.8512199999999996</v>
      </c>
      <c r="D15" s="129"/>
      <c r="F15" s="125">
        <v>28</v>
      </c>
      <c r="G15" s="129">
        <v>6.4709199999999996</v>
      </c>
      <c r="H15" s="129">
        <v>0.99226000000000003</v>
      </c>
      <c r="I15" s="129">
        <v>0.38804</v>
      </c>
      <c r="K15" s="129"/>
      <c r="L15" s="129"/>
      <c r="M15" s="129"/>
      <c r="N15" s="129"/>
      <c r="O15" s="129"/>
      <c r="P15" s="129"/>
    </row>
    <row r="16" spans="2:16">
      <c r="B16" s="125">
        <v>29</v>
      </c>
      <c r="C16" s="129">
        <v>8.0074900000000007</v>
      </c>
      <c r="D16" s="129"/>
      <c r="F16" s="125">
        <v>29</v>
      </c>
      <c r="G16" s="129">
        <v>6.6046899999999997</v>
      </c>
      <c r="H16" s="129">
        <v>1.00369</v>
      </c>
      <c r="I16" s="129">
        <v>0.39911000000000002</v>
      </c>
      <c r="K16" s="129"/>
      <c r="L16" s="129"/>
      <c r="M16" s="129"/>
      <c r="N16" s="129"/>
      <c r="O16" s="129"/>
      <c r="P16" s="129"/>
    </row>
    <row r="17" spans="2:16">
      <c r="B17" s="125">
        <v>30</v>
      </c>
      <c r="C17" s="129">
        <v>8.1657100000000007</v>
      </c>
      <c r="D17" s="129"/>
      <c r="F17" s="125">
        <v>30</v>
      </c>
      <c r="G17" s="129">
        <v>6.7408599999999996</v>
      </c>
      <c r="H17" s="129">
        <v>1.0146299999999999</v>
      </c>
      <c r="I17" s="129">
        <v>0.41021999999999997</v>
      </c>
      <c r="K17" s="129"/>
      <c r="L17" s="129"/>
      <c r="M17" s="129"/>
      <c r="N17" s="129"/>
      <c r="O17" s="129"/>
      <c r="P17" s="129"/>
    </row>
    <row r="18" spans="2:16">
      <c r="B18" s="125">
        <v>31</v>
      </c>
      <c r="C18" s="129">
        <v>8.3438099999999995</v>
      </c>
      <c r="D18" s="129"/>
      <c r="F18" s="125">
        <v>31</v>
      </c>
      <c r="G18" s="129">
        <v>6.8996599999999999</v>
      </c>
      <c r="H18" s="129">
        <v>1.0249699999999999</v>
      </c>
      <c r="I18" s="129">
        <v>0.41919000000000001</v>
      </c>
      <c r="K18" s="129"/>
      <c r="L18" s="129"/>
      <c r="M18" s="129"/>
      <c r="N18" s="129"/>
      <c r="O18" s="129"/>
      <c r="P18" s="129"/>
    </row>
    <row r="19" spans="2:16">
      <c r="B19" s="125">
        <v>32</v>
      </c>
      <c r="C19" s="129">
        <v>8.5076300000000007</v>
      </c>
      <c r="D19" s="129"/>
      <c r="F19" s="125">
        <v>32</v>
      </c>
      <c r="G19" s="129">
        <v>7.0427499999999998</v>
      </c>
      <c r="H19" s="129">
        <v>1.0346200000000001</v>
      </c>
      <c r="I19" s="129">
        <v>0.43025999999999998</v>
      </c>
      <c r="K19" s="129"/>
      <c r="L19" s="129"/>
      <c r="M19" s="129"/>
      <c r="N19" s="129"/>
      <c r="O19" s="129"/>
      <c r="P19" s="129"/>
    </row>
    <row r="20" spans="2:16">
      <c r="B20" s="125">
        <v>33</v>
      </c>
      <c r="C20" s="129">
        <v>8.6843299999999992</v>
      </c>
      <c r="D20" s="129"/>
      <c r="F20" s="125">
        <v>33</v>
      </c>
      <c r="G20" s="129">
        <v>7.1832500000000001</v>
      </c>
      <c r="H20" s="129">
        <v>1.05796</v>
      </c>
      <c r="I20" s="129">
        <v>0.44312000000000001</v>
      </c>
      <c r="K20" s="129"/>
      <c r="L20" s="129"/>
      <c r="M20" s="129"/>
      <c r="N20" s="129"/>
      <c r="O20" s="129"/>
      <c r="P20" s="129"/>
    </row>
    <row r="21" spans="2:16">
      <c r="B21" s="125">
        <v>34</v>
      </c>
      <c r="C21" s="129">
        <v>8.8705700000000007</v>
      </c>
      <c r="D21" s="129"/>
      <c r="F21" s="125">
        <v>34</v>
      </c>
      <c r="G21" s="129">
        <v>7.3526100000000003</v>
      </c>
      <c r="H21" s="129">
        <v>1.0660499999999999</v>
      </c>
      <c r="I21" s="129">
        <v>0.45191999999999999</v>
      </c>
      <c r="K21" s="129"/>
      <c r="L21" s="129"/>
      <c r="M21" s="129"/>
      <c r="N21" s="129"/>
      <c r="O21" s="129"/>
      <c r="P21" s="129"/>
    </row>
    <row r="22" spans="2:16">
      <c r="B22" s="125">
        <v>35</v>
      </c>
      <c r="C22" s="129">
        <v>9.0510999999999999</v>
      </c>
      <c r="D22" s="129"/>
      <c r="F22" s="125">
        <v>35</v>
      </c>
      <c r="G22" s="129">
        <v>7.5133999999999999</v>
      </c>
      <c r="H22" s="129">
        <v>1.0742400000000001</v>
      </c>
      <c r="I22" s="129">
        <v>0.46344999999999997</v>
      </c>
      <c r="K22" s="129"/>
      <c r="L22" s="129"/>
      <c r="M22" s="129"/>
      <c r="N22" s="129"/>
      <c r="O22" s="129"/>
      <c r="P22" s="129"/>
    </row>
    <row r="23" spans="2:16">
      <c r="B23" s="125">
        <v>36</v>
      </c>
      <c r="C23" s="129">
        <v>9.2241800000000005</v>
      </c>
      <c r="D23" s="129"/>
      <c r="F23" s="125">
        <v>36</v>
      </c>
      <c r="G23" s="129">
        <v>7.6697800000000003</v>
      </c>
      <c r="H23" s="129">
        <v>1.0799700000000001</v>
      </c>
      <c r="I23" s="129">
        <v>0.47442000000000001</v>
      </c>
      <c r="K23" s="129"/>
      <c r="L23" s="129"/>
      <c r="M23" s="129"/>
      <c r="N23" s="129"/>
      <c r="O23" s="129"/>
      <c r="P23" s="129"/>
    </row>
    <row r="24" spans="2:16">
      <c r="B24" s="125">
        <v>37</v>
      </c>
      <c r="C24" s="129">
        <v>9.4297900000000006</v>
      </c>
      <c r="D24" s="129"/>
      <c r="F24" s="125">
        <v>37</v>
      </c>
      <c r="G24" s="129">
        <v>7.8608099999999999</v>
      </c>
      <c r="H24" s="129">
        <v>1.0854699999999999</v>
      </c>
      <c r="I24" s="129">
        <v>0.48351</v>
      </c>
      <c r="K24" s="129"/>
      <c r="L24" s="129"/>
      <c r="M24" s="129"/>
      <c r="N24" s="129"/>
      <c r="O24" s="129"/>
      <c r="P24" s="129"/>
    </row>
    <row r="25" spans="2:16">
      <c r="B25" s="125">
        <v>38</v>
      </c>
      <c r="C25" s="129">
        <v>9.6071399999999993</v>
      </c>
      <c r="D25" s="129"/>
      <c r="F25" s="125">
        <v>38</v>
      </c>
      <c r="G25" s="129">
        <v>8.0403599999999997</v>
      </c>
      <c r="H25" s="129">
        <v>1.0738799999999999</v>
      </c>
      <c r="I25" s="129">
        <v>0.49291000000000001</v>
      </c>
      <c r="K25" s="129"/>
      <c r="L25" s="129"/>
      <c r="M25" s="129"/>
      <c r="N25" s="129"/>
      <c r="O25" s="129"/>
      <c r="P25" s="129"/>
    </row>
    <row r="26" spans="2:16">
      <c r="B26" s="125">
        <v>39</v>
      </c>
      <c r="C26" s="129">
        <v>9.7872900000000005</v>
      </c>
      <c r="D26" s="129"/>
      <c r="F26" s="125">
        <v>39</v>
      </c>
      <c r="G26" s="129">
        <v>8.2091700000000003</v>
      </c>
      <c r="H26" s="129">
        <v>1.0744800000000001</v>
      </c>
      <c r="I26" s="129">
        <v>0.50365000000000004</v>
      </c>
      <c r="K26" s="129"/>
      <c r="L26" s="129"/>
      <c r="M26" s="129"/>
      <c r="N26" s="129"/>
      <c r="O26" s="129"/>
      <c r="P26" s="129"/>
    </row>
    <row r="27" spans="2:16">
      <c r="B27" s="125">
        <v>40</v>
      </c>
      <c r="C27" s="129">
        <v>10.001060000000001</v>
      </c>
      <c r="D27" s="129"/>
      <c r="F27" s="125">
        <v>40</v>
      </c>
      <c r="G27" s="129">
        <v>8.4144699999999997</v>
      </c>
      <c r="H27" s="129">
        <v>1.0741700000000001</v>
      </c>
      <c r="I27" s="129">
        <v>0.51241000000000003</v>
      </c>
      <c r="K27" s="129"/>
      <c r="L27" s="129"/>
      <c r="M27" s="129"/>
      <c r="N27" s="129"/>
      <c r="O27" s="129"/>
      <c r="P27" s="129"/>
    </row>
    <row r="28" spans="2:16">
      <c r="B28" s="125">
        <v>41</v>
      </c>
      <c r="C28" s="129">
        <v>10.196</v>
      </c>
      <c r="D28" s="129"/>
      <c r="F28" s="125">
        <v>41</v>
      </c>
      <c r="G28" s="129">
        <v>8.6009700000000002</v>
      </c>
      <c r="H28" s="129">
        <v>1.0714999999999999</v>
      </c>
      <c r="I28" s="129">
        <v>0.52353000000000005</v>
      </c>
      <c r="K28" s="129"/>
      <c r="L28" s="129"/>
      <c r="M28" s="129"/>
      <c r="N28" s="129"/>
      <c r="O28" s="129"/>
      <c r="P28" s="129"/>
    </row>
    <row r="29" spans="2:16">
      <c r="B29" s="125">
        <v>42</v>
      </c>
      <c r="C29" s="129">
        <v>10.39226</v>
      </c>
      <c r="D29" s="129"/>
      <c r="F29" s="125">
        <v>42</v>
      </c>
      <c r="G29" s="129">
        <v>8.7915500000000009</v>
      </c>
      <c r="H29" s="129">
        <v>1.0661400000000001</v>
      </c>
      <c r="I29" s="129">
        <v>0.53456000000000004</v>
      </c>
      <c r="K29" s="129"/>
      <c r="L29" s="129"/>
      <c r="M29" s="129"/>
      <c r="N29" s="129"/>
      <c r="O29" s="129"/>
      <c r="P29" s="129"/>
    </row>
    <row r="30" spans="2:16">
      <c r="B30" s="125">
        <v>43</v>
      </c>
      <c r="C30" s="129">
        <v>10.614269999999999</v>
      </c>
      <c r="D30" s="129"/>
      <c r="F30" s="125">
        <v>43</v>
      </c>
      <c r="G30" s="129">
        <v>9.0135299999999994</v>
      </c>
      <c r="H30" s="129">
        <v>1.0578000000000001</v>
      </c>
      <c r="I30" s="129">
        <v>0.54293000000000002</v>
      </c>
      <c r="K30" s="129"/>
      <c r="L30" s="129"/>
      <c r="M30" s="129"/>
      <c r="N30" s="129"/>
      <c r="O30" s="129"/>
      <c r="P30" s="129"/>
    </row>
    <row r="31" spans="2:16">
      <c r="B31" s="125">
        <v>44</v>
      </c>
      <c r="C31" s="129">
        <v>10.815340000000001</v>
      </c>
      <c r="D31" s="129"/>
      <c r="F31" s="125">
        <v>44</v>
      </c>
      <c r="G31" s="129">
        <v>9.2155299999999993</v>
      </c>
      <c r="H31" s="129">
        <v>1.0461400000000001</v>
      </c>
      <c r="I31" s="129">
        <v>0.55367</v>
      </c>
      <c r="K31" s="129"/>
      <c r="L31" s="129"/>
      <c r="M31" s="129"/>
      <c r="N31" s="129"/>
      <c r="O31" s="129"/>
      <c r="P31" s="129"/>
    </row>
    <row r="32" spans="2:16">
      <c r="B32" s="125">
        <v>45</v>
      </c>
      <c r="C32" s="129">
        <v>11.01731</v>
      </c>
      <c r="D32" s="129"/>
      <c r="F32" s="125">
        <v>45</v>
      </c>
      <c r="G32" s="129">
        <v>9.4222599999999996</v>
      </c>
      <c r="H32" s="129">
        <v>1.03081</v>
      </c>
      <c r="I32" s="129">
        <v>0.56423000000000001</v>
      </c>
      <c r="K32" s="129"/>
      <c r="L32" s="129"/>
      <c r="M32" s="129"/>
      <c r="N32" s="129"/>
      <c r="O32" s="129"/>
      <c r="P32" s="129"/>
    </row>
    <row r="33" spans="2:16">
      <c r="B33" s="125">
        <v>46</v>
      </c>
      <c r="C33" s="129">
        <v>11.24572</v>
      </c>
      <c r="D33" s="129"/>
      <c r="F33" s="125">
        <v>46</v>
      </c>
      <c r="G33" s="129">
        <v>9.6622699999999995</v>
      </c>
      <c r="H33" s="129">
        <v>1.0114399999999999</v>
      </c>
      <c r="I33" s="129">
        <v>0.57201000000000002</v>
      </c>
      <c r="K33" s="129"/>
      <c r="L33" s="129"/>
      <c r="M33" s="129"/>
      <c r="N33" s="129"/>
      <c r="O33" s="129"/>
      <c r="P33" s="129"/>
    </row>
    <row r="34" spans="2:16">
      <c r="B34" s="125">
        <v>47</v>
      </c>
      <c r="C34" s="129">
        <v>11.453440000000001</v>
      </c>
      <c r="D34" s="129"/>
      <c r="F34" s="125">
        <v>47</v>
      </c>
      <c r="G34" s="129">
        <v>9.9004200000000004</v>
      </c>
      <c r="H34" s="129">
        <v>0.97258999999999995</v>
      </c>
      <c r="I34" s="129">
        <v>0.58043</v>
      </c>
      <c r="K34" s="129"/>
      <c r="L34" s="129"/>
      <c r="M34" s="129"/>
      <c r="N34" s="129"/>
      <c r="O34" s="129"/>
      <c r="P34" s="129"/>
    </row>
    <row r="35" spans="2:16">
      <c r="B35" s="125">
        <v>48</v>
      </c>
      <c r="C35" s="129">
        <v>11.658910000000001</v>
      </c>
      <c r="D35" s="129"/>
      <c r="F35" s="125">
        <v>48</v>
      </c>
      <c r="G35" s="129">
        <v>10.12473</v>
      </c>
      <c r="H35" s="129">
        <v>0.94401000000000002</v>
      </c>
      <c r="I35" s="129">
        <v>0.59018000000000004</v>
      </c>
      <c r="K35" s="129"/>
      <c r="L35" s="129"/>
      <c r="M35" s="129"/>
      <c r="N35" s="129"/>
      <c r="O35" s="129"/>
      <c r="P35" s="129"/>
    </row>
    <row r="36" spans="2:16">
      <c r="B36" s="125">
        <v>49</v>
      </c>
      <c r="C36" s="129">
        <v>11.907909999999999</v>
      </c>
      <c r="D36" s="129"/>
      <c r="F36" s="125">
        <v>49</v>
      </c>
      <c r="G36" s="129">
        <v>10.398910000000001</v>
      </c>
      <c r="H36" s="129">
        <v>0.91132000000000002</v>
      </c>
      <c r="I36" s="129">
        <v>0.59767000000000003</v>
      </c>
      <c r="K36" s="129"/>
      <c r="L36" s="129"/>
      <c r="M36" s="129"/>
      <c r="N36" s="129"/>
      <c r="O36" s="129"/>
      <c r="P36" s="129"/>
    </row>
    <row r="37" spans="2:16">
      <c r="B37" s="125">
        <v>50</v>
      </c>
      <c r="C37" s="129">
        <v>12.120240000000001</v>
      </c>
      <c r="D37" s="129"/>
      <c r="F37" s="125">
        <v>50</v>
      </c>
      <c r="G37" s="129">
        <v>10.64142</v>
      </c>
      <c r="H37" s="129">
        <v>0.87214000000000003</v>
      </c>
      <c r="I37" s="129">
        <v>0.60668</v>
      </c>
      <c r="K37" s="129"/>
      <c r="L37" s="129"/>
      <c r="M37" s="129"/>
      <c r="N37" s="129"/>
      <c r="O37" s="129"/>
      <c r="P37" s="129"/>
    </row>
    <row r="38" spans="2:16">
      <c r="B38" s="125">
        <v>51</v>
      </c>
      <c r="C38" s="129">
        <v>12.33835</v>
      </c>
      <c r="D38" s="129"/>
      <c r="F38" s="125">
        <v>51</v>
      </c>
      <c r="G38" s="129">
        <v>10.91225</v>
      </c>
      <c r="H38" s="129">
        <v>0.81262999999999996</v>
      </c>
      <c r="I38" s="129">
        <v>0.61346999999999996</v>
      </c>
      <c r="K38" s="129"/>
      <c r="L38" s="129"/>
      <c r="M38" s="129"/>
      <c r="N38" s="129"/>
      <c r="O38" s="129"/>
      <c r="P38" s="129"/>
    </row>
    <row r="39" spans="2:16">
      <c r="B39" s="125">
        <v>52</v>
      </c>
      <c r="C39" s="129">
        <v>12.595409999999999</v>
      </c>
      <c r="D39" s="129"/>
      <c r="F39" s="125">
        <v>52</v>
      </c>
      <c r="G39" s="129">
        <v>11.21302</v>
      </c>
      <c r="H39" s="129">
        <v>0.76280000000000003</v>
      </c>
      <c r="I39" s="129">
        <v>0.61958999999999997</v>
      </c>
      <c r="K39" s="129"/>
      <c r="L39" s="129"/>
      <c r="M39" s="129"/>
      <c r="N39" s="129"/>
      <c r="O39" s="129"/>
      <c r="P39" s="129"/>
    </row>
    <row r="40" spans="2:16">
      <c r="B40" s="125">
        <v>53</v>
      </c>
      <c r="C40" s="129">
        <v>12.82705</v>
      </c>
      <c r="D40" s="129"/>
      <c r="F40" s="125">
        <v>53</v>
      </c>
      <c r="G40" s="129">
        <v>11.4925</v>
      </c>
      <c r="H40" s="129">
        <v>0.70687</v>
      </c>
      <c r="I40" s="129">
        <v>0.62768999999999997</v>
      </c>
      <c r="K40" s="129"/>
      <c r="L40" s="129"/>
      <c r="M40" s="129"/>
      <c r="N40" s="129"/>
      <c r="O40" s="129"/>
      <c r="P40" s="129"/>
    </row>
    <row r="41" spans="2:16">
      <c r="B41" s="125">
        <v>54</v>
      </c>
      <c r="C41" s="129">
        <v>13.046760000000001</v>
      </c>
      <c r="D41" s="129"/>
      <c r="F41" s="125">
        <v>54</v>
      </c>
      <c r="G41" s="129">
        <v>11.76816</v>
      </c>
      <c r="H41" s="129">
        <v>0.64417000000000002</v>
      </c>
      <c r="I41" s="129">
        <v>0.63441999999999998</v>
      </c>
      <c r="K41" s="129"/>
      <c r="L41" s="129"/>
      <c r="M41" s="129"/>
      <c r="N41" s="129"/>
      <c r="O41" s="129"/>
      <c r="P41" s="129"/>
    </row>
    <row r="42" spans="2:16">
      <c r="B42" s="125">
        <v>55</v>
      </c>
      <c r="C42" s="129">
        <v>13.32667</v>
      </c>
      <c r="D42" s="129"/>
      <c r="F42" s="125">
        <v>55</v>
      </c>
      <c r="G42" s="129">
        <v>12.126429999999999</v>
      </c>
      <c r="H42" s="129">
        <v>0.56345999999999996</v>
      </c>
      <c r="I42" s="129">
        <v>0.63678000000000001</v>
      </c>
      <c r="K42" s="129"/>
      <c r="L42" s="129"/>
      <c r="M42" s="129"/>
      <c r="N42" s="129"/>
      <c r="O42" s="129"/>
      <c r="P42" s="129"/>
    </row>
    <row r="43" spans="2:16">
      <c r="B43" s="125">
        <v>56</v>
      </c>
      <c r="C43" s="129">
        <v>13.57396</v>
      </c>
      <c r="D43" s="129"/>
      <c r="F43" s="125">
        <v>56</v>
      </c>
      <c r="G43" s="129">
        <v>12.44023</v>
      </c>
      <c r="H43" s="129">
        <v>0.49112</v>
      </c>
      <c r="I43" s="129">
        <v>0.64261000000000001</v>
      </c>
      <c r="K43" s="129"/>
      <c r="L43" s="129"/>
      <c r="M43" s="129"/>
      <c r="N43" s="129"/>
      <c r="O43" s="129"/>
      <c r="P43" s="129"/>
    </row>
    <row r="44" spans="2:16">
      <c r="B44" s="125">
        <v>57</v>
      </c>
      <c r="C44" s="129">
        <v>13.8263</v>
      </c>
      <c r="D44" s="129"/>
      <c r="F44" s="125">
        <v>57</v>
      </c>
      <c r="G44" s="129">
        <v>12.778560000000001</v>
      </c>
      <c r="H44" s="129">
        <v>0.40276000000000001</v>
      </c>
      <c r="I44" s="129">
        <v>0.64498</v>
      </c>
      <c r="K44" s="129"/>
      <c r="L44" s="129"/>
      <c r="M44" s="129"/>
      <c r="N44" s="129"/>
      <c r="O44" s="129"/>
      <c r="P44" s="129"/>
    </row>
    <row r="45" spans="2:16">
      <c r="B45" s="125">
        <v>58</v>
      </c>
      <c r="C45" s="129">
        <v>14.108790000000001</v>
      </c>
      <c r="D45" s="129"/>
      <c r="F45" s="125">
        <v>58</v>
      </c>
      <c r="G45" s="129">
        <v>13.12542</v>
      </c>
      <c r="H45" s="129">
        <v>0.33510000000000001</v>
      </c>
      <c r="I45" s="129">
        <v>0.64827000000000001</v>
      </c>
      <c r="K45" s="129"/>
      <c r="L45" s="129"/>
      <c r="M45" s="129"/>
      <c r="N45" s="129"/>
      <c r="O45" s="129"/>
      <c r="P45" s="129"/>
    </row>
    <row r="46" spans="2:16">
      <c r="B46" s="125">
        <v>59</v>
      </c>
      <c r="C46" s="129">
        <v>14.38212</v>
      </c>
      <c r="D46" s="129"/>
      <c r="F46" s="125">
        <v>59</v>
      </c>
      <c r="G46" s="129">
        <v>13.46322</v>
      </c>
      <c r="H46" s="129">
        <v>0.26535999999999998</v>
      </c>
      <c r="I46" s="129">
        <v>0.65354000000000001</v>
      </c>
      <c r="K46" s="129"/>
      <c r="L46" s="129"/>
      <c r="M46" s="129"/>
      <c r="N46" s="129"/>
      <c r="O46" s="129"/>
      <c r="P46" s="129"/>
    </row>
    <row r="47" spans="2:16">
      <c r="B47" s="125">
        <v>60</v>
      </c>
      <c r="C47" s="129">
        <v>14.807399999999999</v>
      </c>
      <c r="D47" s="129"/>
      <c r="F47" s="125">
        <v>60</v>
      </c>
      <c r="G47" s="129">
        <v>13.98024</v>
      </c>
      <c r="H47" s="129">
        <v>0.17163</v>
      </c>
      <c r="I47" s="129">
        <v>0.65551999999999999</v>
      </c>
      <c r="K47" s="129"/>
      <c r="L47" s="129"/>
      <c r="M47" s="129"/>
      <c r="N47" s="129"/>
      <c r="O47" s="129"/>
      <c r="P47" s="129"/>
    </row>
    <row r="48" spans="2:16">
      <c r="B48" s="125">
        <v>61</v>
      </c>
      <c r="C48" s="129">
        <v>15.32601</v>
      </c>
      <c r="D48" s="129"/>
      <c r="F48" s="125">
        <v>61</v>
      </c>
      <c r="G48" s="129">
        <v>14.580690000000001</v>
      </c>
      <c r="H48" s="129">
        <v>9.0709999999999999E-2</v>
      </c>
      <c r="I48" s="129">
        <v>0.65461000000000003</v>
      </c>
      <c r="K48" s="129"/>
      <c r="L48" s="129"/>
      <c r="M48" s="129"/>
      <c r="N48" s="129"/>
      <c r="O48" s="129"/>
      <c r="P48" s="129"/>
    </row>
    <row r="49" spans="2:16">
      <c r="B49" s="125">
        <v>62</v>
      </c>
      <c r="C49" s="129">
        <v>15.841290000000001</v>
      </c>
      <c r="D49" s="129"/>
      <c r="F49" s="125">
        <v>62</v>
      </c>
      <c r="G49" s="129">
        <v>15.15743</v>
      </c>
      <c r="H49" s="129">
        <v>3.023E-2</v>
      </c>
      <c r="I49" s="129">
        <v>0.65363000000000004</v>
      </c>
      <c r="K49" s="129"/>
      <c r="L49" s="129"/>
      <c r="M49" s="129"/>
      <c r="N49" s="129"/>
      <c r="O49" s="129"/>
      <c r="P49" s="129"/>
    </row>
    <row r="50" spans="2:16">
      <c r="B50" s="125">
        <v>63</v>
      </c>
      <c r="C50" s="129">
        <v>16.407589999999999</v>
      </c>
      <c r="D50" s="129"/>
      <c r="F50" s="125">
        <v>63</v>
      </c>
      <c r="G50" s="129">
        <v>15.75606</v>
      </c>
      <c r="H50" s="129">
        <v>9.3999999999999997E-4</v>
      </c>
      <c r="I50" s="129">
        <v>0.65059</v>
      </c>
      <c r="K50" s="129"/>
      <c r="L50" s="129"/>
      <c r="M50" s="129"/>
      <c r="N50" s="129"/>
      <c r="O50" s="129"/>
      <c r="P50" s="129"/>
    </row>
    <row r="51" spans="2:16">
      <c r="B51" s="125">
        <v>64</v>
      </c>
      <c r="C51" s="129">
        <v>16.839500000000001</v>
      </c>
      <c r="D51" s="129"/>
      <c r="F51" s="125">
        <v>64</v>
      </c>
      <c r="G51" s="129">
        <v>16.195049999999998</v>
      </c>
      <c r="H51" s="129">
        <v>0</v>
      </c>
      <c r="I51" s="129">
        <v>0.64444999999999997</v>
      </c>
      <c r="K51" s="129"/>
      <c r="L51" s="129"/>
      <c r="M51" s="129"/>
      <c r="N51" s="129"/>
      <c r="O51" s="129"/>
      <c r="P51" s="129"/>
    </row>
    <row r="52" spans="2:16">
      <c r="B52" s="125">
        <v>65</v>
      </c>
      <c r="C52" s="129">
        <v>16.437280000000001</v>
      </c>
      <c r="D52" s="129"/>
      <c r="F52" s="125">
        <v>65</v>
      </c>
      <c r="G52" s="129">
        <v>15.793229999999999</v>
      </c>
      <c r="H52" s="129">
        <v>0</v>
      </c>
      <c r="I52" s="129">
        <v>0.64405000000000001</v>
      </c>
      <c r="K52" s="129"/>
      <c r="L52" s="129"/>
      <c r="M52" s="129"/>
      <c r="N52" s="129"/>
      <c r="O52" s="129"/>
      <c r="P52" s="129"/>
    </row>
    <row r="53" spans="2:16">
      <c r="B53" s="125">
        <v>66</v>
      </c>
      <c r="C53" s="129">
        <v>16.00121</v>
      </c>
      <c r="D53" s="129"/>
      <c r="F53" s="125">
        <v>66</v>
      </c>
      <c r="G53" s="129">
        <v>15.360480000000001</v>
      </c>
      <c r="H53" s="129">
        <v>0</v>
      </c>
      <c r="I53" s="129">
        <v>0.64073000000000002</v>
      </c>
      <c r="K53" s="129"/>
      <c r="L53" s="129"/>
      <c r="M53" s="129"/>
      <c r="N53" s="129"/>
      <c r="O53" s="129"/>
      <c r="P53" s="129"/>
    </row>
    <row r="54" spans="2:16">
      <c r="B54" s="125">
        <v>67</v>
      </c>
      <c r="C54" s="129">
        <v>15.62832</v>
      </c>
      <c r="D54" s="129"/>
      <c r="F54" s="125">
        <v>67</v>
      </c>
      <c r="G54" s="129">
        <v>14.99325</v>
      </c>
      <c r="H54" s="129">
        <v>0</v>
      </c>
      <c r="I54" s="129">
        <v>0.63507999999999998</v>
      </c>
      <c r="K54" s="129"/>
      <c r="L54" s="129"/>
      <c r="M54" s="129"/>
      <c r="N54" s="129"/>
      <c r="O54" s="129"/>
      <c r="P54" s="129"/>
    </row>
    <row r="55" spans="2:16">
      <c r="B55" s="125">
        <v>68</v>
      </c>
      <c r="C55" s="129">
        <v>15.197649999999999</v>
      </c>
      <c r="D55" s="129"/>
      <c r="F55" s="125">
        <v>68</v>
      </c>
      <c r="G55" s="129">
        <v>14.56903</v>
      </c>
      <c r="H55" s="129">
        <v>0</v>
      </c>
      <c r="I55" s="129">
        <v>0.62861999999999996</v>
      </c>
      <c r="K55" s="129"/>
      <c r="L55" s="129"/>
      <c r="M55" s="129"/>
      <c r="N55" s="129"/>
      <c r="O55" s="129"/>
      <c r="P55" s="129"/>
    </row>
    <row r="56" spans="2:16">
      <c r="B56" s="125">
        <v>69</v>
      </c>
      <c r="C56" s="129">
        <v>14.74967</v>
      </c>
      <c r="D56" s="129"/>
      <c r="F56" s="125">
        <v>69</v>
      </c>
      <c r="G56" s="129">
        <v>14.13003</v>
      </c>
      <c r="H56" s="129">
        <v>0</v>
      </c>
      <c r="I56" s="129">
        <v>0.61965000000000003</v>
      </c>
      <c r="K56" s="129"/>
      <c r="L56" s="129"/>
      <c r="M56" s="129"/>
      <c r="N56" s="129"/>
      <c r="O56" s="129"/>
      <c r="P56" s="129"/>
    </row>
    <row r="57" spans="2:16">
      <c r="B57" s="125">
        <v>70</v>
      </c>
      <c r="C57" s="129">
        <v>14.317550000000001</v>
      </c>
      <c r="D57" s="129"/>
      <c r="F57" s="125">
        <v>70</v>
      </c>
      <c r="G57" s="129">
        <v>13.70646</v>
      </c>
      <c r="H57" s="129">
        <v>0</v>
      </c>
      <c r="I57" s="129">
        <v>0.61109000000000002</v>
      </c>
      <c r="K57" s="129"/>
      <c r="L57" s="129"/>
      <c r="M57" s="129"/>
      <c r="N57" s="129"/>
      <c r="O57" s="129"/>
      <c r="P57" s="129"/>
    </row>
    <row r="58" spans="2:16">
      <c r="C58" s="129"/>
      <c r="D58" s="129"/>
      <c r="G58" s="129"/>
      <c r="H58" s="129"/>
      <c r="I58" s="129"/>
      <c r="K58" s="129"/>
      <c r="L58" s="129"/>
      <c r="M58" s="129"/>
    </row>
    <row r="60" spans="2:16">
      <c r="B60" s="128"/>
      <c r="C60" s="128" t="s">
        <v>129</v>
      </c>
      <c r="D60" s="128" t="s">
        <v>130</v>
      </c>
    </row>
    <row r="61" spans="2:16">
      <c r="B61" s="128" t="s">
        <v>123</v>
      </c>
      <c r="C61" s="128" t="s">
        <v>131</v>
      </c>
      <c r="D61" s="128" t="s">
        <v>133</v>
      </c>
      <c r="E61" s="128" t="s">
        <v>133</v>
      </c>
    </row>
    <row r="62" spans="2:16">
      <c r="B62" s="125">
        <v>18</v>
      </c>
      <c r="C62" s="129">
        <v>7.0510799999999998</v>
      </c>
      <c r="D62" s="131">
        <v>0.93317000000000005</v>
      </c>
      <c r="E62" s="129">
        <v>3.5279999999999999E-2</v>
      </c>
      <c r="G62" s="129"/>
      <c r="H62" s="129"/>
      <c r="I62" s="129"/>
      <c r="K62" s="129"/>
      <c r="L62" s="129"/>
      <c r="M62" s="129"/>
    </row>
    <row r="63" spans="2:16">
      <c r="B63" s="125">
        <v>19</v>
      </c>
      <c r="C63" s="129">
        <v>7.1853800000000003</v>
      </c>
      <c r="D63" s="131">
        <v>0.95779999999999998</v>
      </c>
      <c r="E63" s="129">
        <v>3.6339999999999997E-2</v>
      </c>
      <c r="G63" s="129"/>
      <c r="H63" s="129"/>
      <c r="I63" s="129"/>
      <c r="K63" s="129"/>
      <c r="L63" s="129"/>
      <c r="M63" s="129"/>
    </row>
    <row r="64" spans="2:16">
      <c r="B64" s="125">
        <v>20</v>
      </c>
      <c r="C64" s="129">
        <v>7.3199300000000003</v>
      </c>
      <c r="D64" s="131">
        <v>0.98763000000000001</v>
      </c>
      <c r="E64" s="129">
        <v>3.7699999999999997E-2</v>
      </c>
      <c r="G64" s="129"/>
      <c r="H64" s="129"/>
      <c r="I64" s="129"/>
      <c r="K64" s="129"/>
      <c r="L64" s="129"/>
      <c r="M64" s="129"/>
    </row>
    <row r="65" spans="2:13">
      <c r="B65" s="125">
        <v>21</v>
      </c>
      <c r="C65" s="129">
        <v>7.4563800000000002</v>
      </c>
      <c r="D65" s="131">
        <v>1.0183</v>
      </c>
      <c r="E65" s="129">
        <v>3.9100000000000003E-2</v>
      </c>
      <c r="G65" s="129"/>
      <c r="H65" s="129"/>
      <c r="I65" s="129"/>
      <c r="K65" s="129"/>
      <c r="L65" s="129"/>
      <c r="M65" s="129"/>
    </row>
    <row r="66" spans="2:13">
      <c r="B66" s="125">
        <v>22</v>
      </c>
      <c r="C66" s="129">
        <v>7.6127200000000004</v>
      </c>
      <c r="D66" s="131">
        <v>1.04413</v>
      </c>
      <c r="E66" s="129">
        <v>4.0129999999999999E-2</v>
      </c>
      <c r="G66" s="129"/>
      <c r="H66" s="129"/>
      <c r="I66" s="129"/>
      <c r="K66" s="129"/>
      <c r="L66" s="129"/>
      <c r="M66" s="129"/>
    </row>
    <row r="67" spans="2:13">
      <c r="B67" s="125">
        <v>23</v>
      </c>
      <c r="C67" s="129">
        <v>7.7536300000000002</v>
      </c>
      <c r="D67" s="131">
        <v>1.0760799999999999</v>
      </c>
      <c r="E67" s="129">
        <v>4.1509999999999998E-2</v>
      </c>
      <c r="G67" s="129"/>
      <c r="H67" s="129"/>
      <c r="I67" s="129"/>
      <c r="K67" s="129"/>
      <c r="L67" s="129"/>
      <c r="M67" s="129"/>
    </row>
    <row r="68" spans="2:13">
      <c r="B68" s="125">
        <v>24</v>
      </c>
      <c r="C68" s="129">
        <v>7.8805500000000004</v>
      </c>
      <c r="D68" s="131">
        <v>1.10934</v>
      </c>
      <c r="E68" s="129">
        <v>4.2869999999999998E-2</v>
      </c>
      <c r="G68" s="129"/>
      <c r="H68" s="129"/>
      <c r="I68" s="129"/>
      <c r="K68" s="129"/>
      <c r="L68" s="129"/>
      <c r="M68" s="129"/>
    </row>
    <row r="69" spans="2:13">
      <c r="B69" s="125">
        <v>25</v>
      </c>
      <c r="C69" s="129">
        <v>8.0454899999999991</v>
      </c>
      <c r="D69" s="131">
        <v>1.13639</v>
      </c>
      <c r="E69" s="129">
        <v>4.3749999999999997E-2</v>
      </c>
      <c r="G69" s="129"/>
      <c r="H69" s="129"/>
      <c r="I69" s="129"/>
      <c r="K69" s="129"/>
      <c r="L69" s="129"/>
      <c r="M69" s="129"/>
    </row>
    <row r="70" spans="2:13">
      <c r="B70" s="125">
        <v>26</v>
      </c>
      <c r="C70" s="129">
        <v>8.1949100000000001</v>
      </c>
      <c r="D70" s="131">
        <v>1.1696299999999999</v>
      </c>
      <c r="E70" s="129">
        <v>4.4900000000000002E-2</v>
      </c>
      <c r="G70" s="129"/>
      <c r="H70" s="129"/>
      <c r="I70" s="129"/>
      <c r="K70" s="129"/>
      <c r="L70" s="129"/>
      <c r="M70" s="129"/>
    </row>
    <row r="71" spans="2:13">
      <c r="B71" s="125">
        <v>27</v>
      </c>
      <c r="C71" s="129">
        <v>8.3462499999999995</v>
      </c>
      <c r="D71" s="131">
        <v>1.2031799999999999</v>
      </c>
      <c r="E71" s="129">
        <v>4.5929999999999999E-2</v>
      </c>
      <c r="G71" s="129"/>
      <c r="H71" s="129"/>
      <c r="I71" s="129"/>
      <c r="K71" s="129"/>
      <c r="L71" s="129"/>
      <c r="M71" s="129"/>
    </row>
    <row r="72" spans="2:13">
      <c r="B72" s="125">
        <v>28</v>
      </c>
      <c r="C72" s="129">
        <v>8.5196100000000001</v>
      </c>
      <c r="D72" s="131">
        <v>1.2304600000000001</v>
      </c>
      <c r="E72" s="129">
        <v>4.6370000000000001E-2</v>
      </c>
      <c r="G72" s="129"/>
      <c r="H72" s="129"/>
      <c r="I72" s="129"/>
      <c r="K72" s="129"/>
      <c r="L72" s="129"/>
      <c r="M72" s="129"/>
    </row>
    <row r="73" spans="2:13">
      <c r="B73" s="125">
        <v>29</v>
      </c>
      <c r="C73" s="129">
        <v>8.6754499999999997</v>
      </c>
      <c r="D73" s="131">
        <v>1.26414</v>
      </c>
      <c r="E73" s="129">
        <v>4.7E-2</v>
      </c>
      <c r="G73" s="129"/>
      <c r="H73" s="129"/>
      <c r="I73" s="129"/>
      <c r="K73" s="129"/>
      <c r="L73" s="129"/>
      <c r="M73" s="129"/>
    </row>
    <row r="74" spans="2:13">
      <c r="B74" s="125">
        <v>30</v>
      </c>
      <c r="C74" s="129">
        <v>8.8331300000000006</v>
      </c>
      <c r="D74" s="131">
        <v>1.2978400000000001</v>
      </c>
      <c r="E74" s="129">
        <v>4.7419999999999997E-2</v>
      </c>
      <c r="G74" s="129"/>
      <c r="H74" s="129"/>
      <c r="I74" s="129"/>
      <c r="K74" s="129"/>
      <c r="L74" s="129"/>
      <c r="M74" s="129"/>
    </row>
    <row r="75" spans="2:13">
      <c r="B75" s="125">
        <v>31</v>
      </c>
      <c r="C75" s="129">
        <v>9.0154999999999994</v>
      </c>
      <c r="D75" s="131">
        <v>1.3246899999999999</v>
      </c>
      <c r="E75" s="129">
        <v>4.7160000000000001E-2</v>
      </c>
      <c r="G75" s="129"/>
      <c r="H75" s="129"/>
      <c r="I75" s="129"/>
      <c r="K75" s="129"/>
      <c r="L75" s="129"/>
      <c r="M75" s="129"/>
    </row>
    <row r="76" spans="2:13">
      <c r="B76" s="125">
        <v>32</v>
      </c>
      <c r="C76" s="129">
        <v>9.17882</v>
      </c>
      <c r="D76" s="131">
        <v>1.3581399999999999</v>
      </c>
      <c r="E76" s="129">
        <v>4.7050000000000002E-2</v>
      </c>
      <c r="G76" s="129"/>
      <c r="H76" s="129"/>
      <c r="I76" s="129"/>
      <c r="K76" s="129"/>
      <c r="L76" s="129"/>
      <c r="M76" s="129"/>
    </row>
    <row r="77" spans="2:13">
      <c r="B77" s="125">
        <v>33</v>
      </c>
      <c r="C77" s="129">
        <v>9.3226300000000002</v>
      </c>
      <c r="D77" s="131">
        <v>1.3924099999999999</v>
      </c>
      <c r="E77" s="129">
        <v>4.6699999999999998E-2</v>
      </c>
      <c r="G77" s="129"/>
      <c r="H77" s="129"/>
      <c r="I77" s="129"/>
      <c r="K77" s="129"/>
      <c r="L77" s="129"/>
      <c r="M77" s="129"/>
    </row>
    <row r="78" spans="2:13">
      <c r="B78" s="125">
        <v>34</v>
      </c>
      <c r="C78" s="129">
        <v>9.5126100000000005</v>
      </c>
      <c r="D78" s="131">
        <v>1.4184399999999999</v>
      </c>
      <c r="E78" s="129">
        <v>4.5629999999999997E-2</v>
      </c>
      <c r="G78" s="129"/>
      <c r="H78" s="129"/>
      <c r="I78" s="129"/>
      <c r="K78" s="129"/>
      <c r="L78" s="129"/>
      <c r="M78" s="129"/>
    </row>
    <row r="79" spans="2:13">
      <c r="B79" s="125">
        <v>35</v>
      </c>
      <c r="C79" s="129">
        <v>9.6816800000000001</v>
      </c>
      <c r="D79" s="131">
        <v>1.45137</v>
      </c>
      <c r="E79" s="129">
        <v>4.4699999999999997E-2</v>
      </c>
      <c r="G79" s="129"/>
      <c r="H79" s="129"/>
      <c r="I79" s="129"/>
      <c r="K79" s="129"/>
      <c r="L79" s="129"/>
      <c r="M79" s="129"/>
    </row>
    <row r="80" spans="2:13">
      <c r="B80" s="125">
        <v>36</v>
      </c>
      <c r="C80" s="129">
        <v>9.8533299999999997</v>
      </c>
      <c r="D80" s="131">
        <v>1.4840500000000001</v>
      </c>
      <c r="E80" s="129">
        <v>4.3490000000000001E-2</v>
      </c>
      <c r="G80" s="129"/>
      <c r="H80" s="129"/>
      <c r="I80" s="129"/>
      <c r="K80" s="129"/>
      <c r="L80" s="129"/>
      <c r="M80" s="129"/>
    </row>
    <row r="81" spans="2:13">
      <c r="B81" s="125">
        <v>37</v>
      </c>
      <c r="C81" s="129">
        <v>10.052</v>
      </c>
      <c r="D81" s="131">
        <v>1.50908</v>
      </c>
      <c r="E81" s="129">
        <v>4.1680000000000002E-2</v>
      </c>
      <c r="G81" s="129"/>
      <c r="H81" s="129"/>
      <c r="I81" s="129"/>
      <c r="K81" s="129"/>
      <c r="L81" s="129"/>
      <c r="M81" s="129"/>
    </row>
    <row r="82" spans="2:13">
      <c r="B82" s="125">
        <v>38</v>
      </c>
      <c r="C82" s="129">
        <v>10.252230000000001</v>
      </c>
      <c r="D82" s="131">
        <v>1.5401400000000001</v>
      </c>
      <c r="E82" s="129">
        <v>0.04</v>
      </c>
      <c r="G82" s="129"/>
      <c r="H82" s="129"/>
      <c r="I82" s="129"/>
      <c r="K82" s="129"/>
      <c r="L82" s="129"/>
      <c r="M82" s="129"/>
    </row>
    <row r="83" spans="2:13">
      <c r="B83" s="125">
        <v>39</v>
      </c>
      <c r="C83" s="129">
        <v>10.43106</v>
      </c>
      <c r="D83" s="131">
        <v>1.57193</v>
      </c>
      <c r="E83" s="129">
        <v>3.8159999999999999E-2</v>
      </c>
      <c r="G83" s="129"/>
      <c r="H83" s="129"/>
      <c r="I83" s="129"/>
      <c r="K83" s="129"/>
      <c r="L83" s="129"/>
      <c r="M83" s="129"/>
    </row>
    <row r="84" spans="2:13">
      <c r="B84" s="125">
        <v>40</v>
      </c>
      <c r="C84" s="129">
        <v>10.63749</v>
      </c>
      <c r="D84" s="131">
        <v>1.5956999999999999</v>
      </c>
      <c r="E84" s="129">
        <v>3.5839999999999997E-2</v>
      </c>
      <c r="G84" s="129"/>
      <c r="H84" s="129"/>
      <c r="I84" s="129"/>
      <c r="K84" s="129"/>
      <c r="L84" s="129"/>
      <c r="M84" s="129"/>
    </row>
    <row r="85" spans="2:13">
      <c r="B85" s="125">
        <v>41</v>
      </c>
      <c r="C85" s="129">
        <v>10.819319999999999</v>
      </c>
      <c r="D85" s="131">
        <v>1.62669</v>
      </c>
      <c r="E85" s="129">
        <v>3.3750000000000002E-2</v>
      </c>
      <c r="G85" s="129"/>
      <c r="H85" s="129"/>
      <c r="I85" s="129"/>
      <c r="K85" s="129"/>
      <c r="L85" s="129"/>
      <c r="M85" s="129"/>
    </row>
    <row r="86" spans="2:13">
      <c r="B86" s="125">
        <v>42</v>
      </c>
      <c r="C86" s="129">
        <v>11.001899999999999</v>
      </c>
      <c r="D86" s="131">
        <v>1.65724</v>
      </c>
      <c r="E86" s="129">
        <v>3.1550000000000002E-2</v>
      </c>
      <c r="G86" s="129"/>
      <c r="H86" s="129"/>
      <c r="I86" s="129"/>
      <c r="K86" s="129"/>
      <c r="L86" s="129"/>
      <c r="M86" s="129"/>
    </row>
    <row r="87" spans="2:13">
      <c r="B87" s="125">
        <v>43</v>
      </c>
      <c r="C87" s="129">
        <v>11.21529</v>
      </c>
      <c r="D87" s="131">
        <v>1.6794500000000001</v>
      </c>
      <c r="E87" s="129">
        <v>2.9059999999999999E-2</v>
      </c>
      <c r="G87" s="129"/>
      <c r="H87" s="129"/>
      <c r="I87" s="129"/>
      <c r="K87" s="129"/>
      <c r="L87" s="129"/>
      <c r="M87" s="129"/>
    </row>
    <row r="88" spans="2:13">
      <c r="B88" s="125">
        <v>44</v>
      </c>
      <c r="C88" s="129">
        <v>11.40185</v>
      </c>
      <c r="D88" s="131">
        <v>1.70886</v>
      </c>
      <c r="E88" s="129">
        <v>2.682E-2</v>
      </c>
      <c r="G88" s="129"/>
      <c r="H88" s="129"/>
      <c r="I88" s="129"/>
      <c r="K88" s="129"/>
      <c r="L88" s="129"/>
      <c r="M88" s="129"/>
    </row>
    <row r="89" spans="2:13">
      <c r="B89" s="125">
        <v>45</v>
      </c>
      <c r="C89" s="129">
        <v>11.58877</v>
      </c>
      <c r="D89" s="131">
        <v>1.7376</v>
      </c>
      <c r="E89" s="129">
        <v>2.4590000000000001E-2</v>
      </c>
      <c r="G89" s="129"/>
      <c r="H89" s="129"/>
      <c r="I89" s="129"/>
      <c r="K89" s="129"/>
      <c r="L89" s="129"/>
      <c r="M89" s="129"/>
    </row>
    <row r="90" spans="2:13">
      <c r="B90" s="125">
        <v>46</v>
      </c>
      <c r="C90" s="129">
        <v>11.80721</v>
      </c>
      <c r="D90" s="131">
        <v>1.7576499999999999</v>
      </c>
      <c r="E90" s="129">
        <v>2.2200000000000001E-2</v>
      </c>
      <c r="G90" s="129"/>
      <c r="H90" s="129"/>
      <c r="I90" s="129"/>
      <c r="K90" s="129"/>
      <c r="L90" s="129"/>
      <c r="M90" s="129"/>
    </row>
    <row r="91" spans="2:13">
      <c r="B91" s="125">
        <v>47</v>
      </c>
      <c r="C91" s="129">
        <v>12.027659999999999</v>
      </c>
      <c r="D91" s="131">
        <v>1.78352</v>
      </c>
      <c r="E91" s="129">
        <v>2.009E-2</v>
      </c>
      <c r="G91" s="129"/>
      <c r="H91" s="129"/>
      <c r="I91" s="129"/>
      <c r="K91" s="129"/>
      <c r="L91" s="129"/>
      <c r="M91" s="129"/>
    </row>
    <row r="92" spans="2:13">
      <c r="B92" s="125">
        <v>48</v>
      </c>
      <c r="C92" s="129">
        <v>12.21715</v>
      </c>
      <c r="D92" s="131">
        <v>1.8094699999999999</v>
      </c>
      <c r="E92" s="129">
        <v>1.8079999999999999E-2</v>
      </c>
      <c r="G92" s="129"/>
      <c r="H92" s="129"/>
      <c r="I92" s="129"/>
      <c r="K92" s="129"/>
      <c r="L92" s="129"/>
      <c r="M92" s="129"/>
    </row>
    <row r="93" spans="2:13">
      <c r="B93" s="125">
        <v>49</v>
      </c>
      <c r="C93" s="129">
        <v>12.442500000000001</v>
      </c>
      <c r="D93" s="131">
        <v>1.8264100000000001</v>
      </c>
      <c r="E93" s="129">
        <v>1.6029999999999999E-2</v>
      </c>
      <c r="G93" s="129"/>
      <c r="H93" s="129"/>
      <c r="I93" s="129"/>
      <c r="K93" s="129"/>
      <c r="L93" s="129"/>
      <c r="M93" s="129"/>
    </row>
    <row r="94" spans="2:13">
      <c r="B94" s="125">
        <v>50</v>
      </c>
      <c r="C94" s="129">
        <v>12.63838</v>
      </c>
      <c r="D94" s="131">
        <v>1.8498600000000001</v>
      </c>
      <c r="E94" s="129">
        <v>1.4239999999999999E-2</v>
      </c>
      <c r="G94" s="129"/>
      <c r="H94" s="129"/>
      <c r="I94" s="129"/>
      <c r="K94" s="129"/>
      <c r="L94" s="129"/>
      <c r="M94" s="129"/>
    </row>
    <row r="95" spans="2:13">
      <c r="B95" s="125">
        <v>51</v>
      </c>
      <c r="C95" s="129">
        <v>12.870340000000001</v>
      </c>
      <c r="D95" s="131">
        <v>1.8705799999999999</v>
      </c>
      <c r="E95" s="129">
        <v>1.2579999999999999E-2</v>
      </c>
      <c r="G95" s="129"/>
      <c r="H95" s="129"/>
      <c r="I95" s="129"/>
      <c r="J95" s="129"/>
      <c r="K95" s="129"/>
      <c r="L95" s="129"/>
      <c r="M95" s="129"/>
    </row>
    <row r="96" spans="2:13">
      <c r="B96" s="125">
        <v>52</v>
      </c>
      <c r="C96" s="129">
        <v>13.102639999999999</v>
      </c>
      <c r="D96" s="131">
        <v>1.88304</v>
      </c>
      <c r="E96" s="129">
        <v>1.094E-2</v>
      </c>
      <c r="G96" s="129"/>
      <c r="H96" s="129"/>
      <c r="I96" s="129"/>
      <c r="J96" s="129"/>
      <c r="K96" s="129"/>
      <c r="L96" s="129"/>
      <c r="M96" s="129"/>
    </row>
    <row r="97" spans="2:13">
      <c r="B97" s="125">
        <v>53</v>
      </c>
      <c r="C97" s="129">
        <v>13.303559999999999</v>
      </c>
      <c r="D97" s="131">
        <v>1.9013899999999999</v>
      </c>
      <c r="E97" s="129">
        <v>9.5600000000000008E-3</v>
      </c>
      <c r="G97" s="129"/>
      <c r="H97" s="129"/>
      <c r="I97" s="129"/>
      <c r="J97" s="129"/>
      <c r="K97" s="129"/>
      <c r="L97" s="129"/>
      <c r="M97" s="129"/>
    </row>
    <row r="98" spans="2:13">
      <c r="B98" s="125">
        <v>54</v>
      </c>
      <c r="C98" s="129">
        <v>13.506349999999999</v>
      </c>
      <c r="D98" s="131">
        <v>1.9175899999999999</v>
      </c>
      <c r="E98" s="129">
        <v>8.2799999999999992E-3</v>
      </c>
      <c r="G98" s="129"/>
      <c r="H98" s="129"/>
      <c r="I98" s="129"/>
      <c r="K98" s="129"/>
      <c r="L98" s="129"/>
      <c r="M98" s="129"/>
    </row>
    <row r="99" spans="2:13">
      <c r="B99" s="125">
        <v>55</v>
      </c>
      <c r="C99" s="129">
        <v>13.79336</v>
      </c>
      <c r="D99" s="131">
        <v>1.92265</v>
      </c>
      <c r="E99" s="129">
        <v>7.0899999999999999E-3</v>
      </c>
      <c r="G99" s="129"/>
      <c r="H99" s="129"/>
      <c r="I99" s="129"/>
      <c r="J99" s="130"/>
      <c r="K99" s="129"/>
      <c r="L99" s="129"/>
      <c r="M99" s="129"/>
    </row>
    <row r="100" spans="2:13">
      <c r="B100" s="125">
        <v>56</v>
      </c>
      <c r="C100" s="129">
        <v>14.01013</v>
      </c>
      <c r="D100" s="131">
        <v>1.9339299999999999</v>
      </c>
      <c r="E100" s="129">
        <v>6.0600000000000003E-3</v>
      </c>
      <c r="G100" s="129"/>
      <c r="H100" s="129"/>
      <c r="I100" s="129"/>
      <c r="K100" s="129"/>
      <c r="L100" s="129"/>
      <c r="M100" s="129"/>
    </row>
    <row r="101" spans="2:13">
      <c r="B101" s="125">
        <v>57</v>
      </c>
      <c r="C101" s="129">
        <v>14.28096</v>
      </c>
      <c r="D101" s="131">
        <v>1.9410700000000001</v>
      </c>
      <c r="E101" s="129">
        <v>5.1700000000000001E-3</v>
      </c>
      <c r="G101" s="129"/>
      <c r="H101" s="129"/>
      <c r="I101" s="129"/>
      <c r="J101" s="130"/>
      <c r="K101" s="129"/>
      <c r="L101" s="129"/>
      <c r="M101" s="129"/>
    </row>
    <row r="102" spans="2:13">
      <c r="B102" s="125">
        <v>58</v>
      </c>
      <c r="C102" s="129">
        <v>14.50487</v>
      </c>
      <c r="D102" s="131">
        <v>1.9404600000000001</v>
      </c>
      <c r="E102" s="129">
        <v>4.3200000000000001E-3</v>
      </c>
      <c r="G102" s="129"/>
      <c r="H102" s="129"/>
      <c r="I102" s="129"/>
      <c r="K102" s="129"/>
      <c r="L102" s="129"/>
      <c r="M102" s="129"/>
    </row>
    <row r="103" spans="2:13">
      <c r="B103" s="125">
        <v>59</v>
      </c>
      <c r="C103" s="129">
        <v>14.698700000000001</v>
      </c>
      <c r="D103" s="131">
        <v>1.94367</v>
      </c>
      <c r="E103" s="129">
        <v>3.64E-3</v>
      </c>
      <c r="G103" s="129"/>
      <c r="H103" s="129"/>
      <c r="I103" s="129"/>
      <c r="K103" s="129"/>
      <c r="L103" s="129"/>
      <c r="M103" s="129"/>
    </row>
    <row r="104" spans="2:13">
      <c r="B104" s="125">
        <v>60</v>
      </c>
      <c r="C104" s="129">
        <v>15.07122</v>
      </c>
      <c r="D104" s="131">
        <v>1.9391799999999999</v>
      </c>
      <c r="E104" s="129">
        <v>3.0100000000000001E-3</v>
      </c>
      <c r="G104" s="129"/>
      <c r="H104" s="129"/>
      <c r="I104" s="129"/>
      <c r="K104" s="129"/>
      <c r="L104" s="129"/>
      <c r="M104" s="129"/>
    </row>
    <row r="105" spans="2:13">
      <c r="B105" s="125">
        <v>61</v>
      </c>
      <c r="C105" s="129">
        <v>15.52529</v>
      </c>
      <c r="D105" s="131">
        <v>1.9241900000000001</v>
      </c>
      <c r="E105" s="129">
        <v>2.48E-3</v>
      </c>
      <c r="G105" s="129"/>
      <c r="H105" s="129"/>
      <c r="I105" s="129"/>
      <c r="K105" s="129"/>
      <c r="L105" s="129"/>
      <c r="M105" s="129"/>
    </row>
    <row r="106" spans="2:13">
      <c r="B106" s="125">
        <v>62</v>
      </c>
      <c r="C106" s="129">
        <v>15.989710000000001</v>
      </c>
      <c r="D106" s="131">
        <v>1.91151</v>
      </c>
      <c r="E106" s="129">
        <v>2.0100000000000001E-3</v>
      </c>
      <c r="G106" s="129"/>
      <c r="H106" s="129"/>
      <c r="I106" s="129"/>
      <c r="K106" s="129"/>
      <c r="L106" s="129"/>
      <c r="M106" s="129"/>
    </row>
    <row r="107" spans="2:13">
      <c r="B107" s="125">
        <v>63</v>
      </c>
      <c r="C107" s="129">
        <v>16.516079999999999</v>
      </c>
      <c r="D107" s="131">
        <v>1.8942399999999999</v>
      </c>
      <c r="E107" s="129">
        <v>1.6299999999999999E-3</v>
      </c>
      <c r="G107" s="129"/>
      <c r="H107" s="129"/>
      <c r="I107" s="129"/>
      <c r="K107" s="129"/>
      <c r="L107" s="129"/>
      <c r="M107" s="129"/>
    </row>
    <row r="108" spans="2:13">
      <c r="B108" s="125">
        <v>64</v>
      </c>
      <c r="C108" s="129">
        <v>16.918839999999999</v>
      </c>
      <c r="D108" s="131">
        <v>1.8701399999999999</v>
      </c>
      <c r="E108" s="129">
        <v>1.2700000000000001E-3</v>
      </c>
      <c r="G108" s="129"/>
      <c r="H108" s="129"/>
      <c r="I108" s="129"/>
      <c r="K108" s="129"/>
      <c r="L108" s="129"/>
      <c r="M108" s="129"/>
    </row>
    <row r="109" spans="2:13">
      <c r="B109" s="125">
        <v>65</v>
      </c>
      <c r="C109" s="129">
        <v>16.433820000000001</v>
      </c>
      <c r="D109" s="131">
        <v>1.8615900000000001</v>
      </c>
      <c r="E109" s="129">
        <v>1.0200000000000001E-3</v>
      </c>
      <c r="G109" s="129"/>
      <c r="H109" s="129"/>
      <c r="I109" s="129"/>
      <c r="K109" s="129"/>
      <c r="L109" s="129"/>
      <c r="M109" s="129"/>
    </row>
    <row r="110" spans="2:13">
      <c r="B110" s="125">
        <v>66</v>
      </c>
      <c r="C110" s="129">
        <v>15.94337</v>
      </c>
      <c r="D110" s="131">
        <v>1.84735</v>
      </c>
      <c r="E110" s="129">
        <v>7.6999999999999996E-4</v>
      </c>
      <c r="G110" s="129"/>
      <c r="H110" s="129"/>
      <c r="I110" s="129"/>
      <c r="K110" s="129"/>
      <c r="L110" s="129"/>
      <c r="M110" s="129"/>
    </row>
    <row r="111" spans="2:13">
      <c r="B111" s="125">
        <v>67</v>
      </c>
      <c r="C111" s="129">
        <v>15.48889</v>
      </c>
      <c r="D111" s="131">
        <v>1.8224199999999999</v>
      </c>
      <c r="E111" s="129">
        <v>5.8E-4</v>
      </c>
      <c r="G111" s="129"/>
      <c r="H111" s="129"/>
      <c r="I111" s="129"/>
      <c r="K111" s="129"/>
      <c r="L111" s="129"/>
      <c r="M111" s="129"/>
    </row>
    <row r="112" spans="2:13">
      <c r="B112" s="125">
        <v>68</v>
      </c>
      <c r="C112" s="129">
        <v>14.988709999999999</v>
      </c>
      <c r="D112" s="131">
        <v>1.7964800000000001</v>
      </c>
      <c r="E112" s="129">
        <v>4.0000000000000002E-4</v>
      </c>
      <c r="G112" s="129"/>
      <c r="H112" s="129"/>
      <c r="I112" s="129"/>
      <c r="K112" s="129"/>
      <c r="L112" s="129"/>
      <c r="M112" s="129"/>
    </row>
    <row r="113" spans="2:13">
      <c r="B113" s="125">
        <v>69</v>
      </c>
      <c r="C113" s="129">
        <v>14.48461</v>
      </c>
      <c r="D113" s="131">
        <v>1.7644299999999999</v>
      </c>
      <c r="E113" s="129">
        <v>2.7999999999999998E-4</v>
      </c>
      <c r="G113" s="129"/>
      <c r="H113" s="129"/>
      <c r="I113" s="129"/>
      <c r="K113" s="129"/>
      <c r="L113" s="129"/>
      <c r="M113" s="129"/>
    </row>
    <row r="114" spans="2:13">
      <c r="B114" s="125">
        <v>70</v>
      </c>
      <c r="C114" s="129">
        <v>13.998469999999999</v>
      </c>
      <c r="D114" s="131">
        <v>1.73363</v>
      </c>
      <c r="E114" s="129">
        <v>1.6000000000000001E-4</v>
      </c>
      <c r="G114" s="129"/>
      <c r="H114" s="129"/>
      <c r="I114" s="129"/>
      <c r="K114" s="129"/>
      <c r="L114" s="129"/>
      <c r="M114" s="1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>
    <pageSetUpPr fitToPage="1"/>
  </sheetPr>
  <dimension ref="A1:AI95"/>
  <sheetViews>
    <sheetView topLeftCell="A53" zoomScaleNormal="100" workbookViewId="0">
      <selection activeCell="G56" sqref="G56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81640625" style="6" customWidth="1"/>
    <col min="9" max="9" width="14.54296875" style="6" customWidth="1"/>
    <col min="10" max="10" width="10.81640625" style="6" bestFit="1" customWidth="1"/>
    <col min="11" max="11" width="10.1796875" style="6" bestFit="1" customWidth="1"/>
    <col min="12" max="27" width="9.1796875" style="6"/>
    <col min="28" max="28" width="15.26953125" style="6" customWidth="1"/>
    <col min="29" max="29" width="14.1796875" style="6" customWidth="1"/>
    <col min="30" max="30" width="10.7265625" style="6" customWidth="1"/>
    <col min="31" max="31" width="9.1796875" style="6"/>
    <col min="32" max="32" width="9.54296875" style="6" bestFit="1" customWidth="1"/>
    <col min="33" max="16384" width="9.1796875" style="6"/>
  </cols>
  <sheetData>
    <row r="1" spans="1:35" ht="18">
      <c r="A1" s="1" t="s">
        <v>34</v>
      </c>
      <c r="Z1" s="113"/>
      <c r="AA1" s="113"/>
      <c r="AB1" s="113" t="s">
        <v>73</v>
      </c>
      <c r="AC1" s="113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  <c r="AI1" s="113"/>
    </row>
    <row r="2" spans="1:35" ht="18">
      <c r="A2" s="56"/>
      <c r="B2" s="54"/>
      <c r="D2" s="55"/>
      <c r="Z2" s="113"/>
      <c r="AA2" s="113"/>
      <c r="AB2" s="113" t="s">
        <v>74</v>
      </c>
      <c r="AC2" s="113"/>
      <c r="AD2" s="113"/>
      <c r="AE2" s="113"/>
      <c r="AF2" s="113"/>
      <c r="AG2" s="113"/>
      <c r="AH2" s="113"/>
      <c r="AI2" s="113"/>
    </row>
    <row r="3" spans="1:35" ht="13">
      <c r="A3" s="5" t="s">
        <v>19</v>
      </c>
      <c r="D3" s="13"/>
      <c r="Z3" s="113" t="s">
        <v>71</v>
      </c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23">
        <f>AC4*AD4</f>
        <v>1.0082852288053108</v>
      </c>
      <c r="AE3" s="113"/>
      <c r="AF3" s="113"/>
      <c r="AG3" s="122"/>
      <c r="AH3" s="113"/>
      <c r="AI3" s="113"/>
    </row>
    <row r="4" spans="1:35" ht="13">
      <c r="A4" s="5"/>
      <c r="B4" s="6" t="s">
        <v>30</v>
      </c>
      <c r="F4" s="10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23">
        <f t="shared" ref="AD4:AD7" si="0">AC5*AD5</f>
        <v>1.006622709560113</v>
      </c>
      <c r="AE4" s="113"/>
      <c r="AF4" s="113"/>
      <c r="AG4" s="122"/>
      <c r="AH4" s="113"/>
      <c r="AI4" s="113"/>
    </row>
    <row r="5" spans="1:35">
      <c r="B5" s="6" t="s">
        <v>5</v>
      </c>
      <c r="F5" s="102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23">
        <f t="shared" si="0"/>
        <v>1.0049629315732038</v>
      </c>
      <c r="AE5" s="113"/>
      <c r="AF5" s="113"/>
      <c r="AG5" s="122"/>
      <c r="AH5" s="113"/>
      <c r="AI5" s="113"/>
    </row>
    <row r="6" spans="1:35">
      <c r="B6" s="6" t="s">
        <v>6</v>
      </c>
      <c r="F6" s="13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23">
        <f t="shared" si="0"/>
        <v>1.0033058903246372</v>
      </c>
      <c r="AE6" s="113"/>
      <c r="AF6" s="113"/>
      <c r="AG6" s="122"/>
      <c r="AH6" s="113"/>
      <c r="AI6" s="113"/>
    </row>
    <row r="7" spans="1:35">
      <c r="B7" s="6" t="s">
        <v>0</v>
      </c>
      <c r="F7" s="31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23">
        <f t="shared" si="0"/>
        <v>1.0016515813019202</v>
      </c>
      <c r="AE7" s="113"/>
      <c r="AF7" s="113"/>
      <c r="AG7" s="122"/>
      <c r="AH7" s="113"/>
      <c r="AI7" s="113"/>
    </row>
    <row r="8" spans="1:35">
      <c r="B8" s="6" t="s">
        <v>18</v>
      </c>
      <c r="F8" s="30"/>
      <c r="G8" s="111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24">
        <v>1</v>
      </c>
      <c r="AE8" s="113"/>
      <c r="AF8" s="113"/>
      <c r="AG8" s="122"/>
      <c r="AH8" s="113"/>
      <c r="AI8" s="113"/>
    </row>
    <row r="9" spans="1:35">
      <c r="F9" s="32"/>
      <c r="Z9" s="113"/>
      <c r="AA9" s="113">
        <v>7</v>
      </c>
      <c r="AB9" s="122">
        <f>1/((1+'KJ-vuosi'!B10)^((DAY('Virkamies 1'!$F$7))/360))</f>
        <v>1</v>
      </c>
      <c r="AC9" s="113">
        <f>+(1+'KJ-vuosi'!B10)^(-1/12)</f>
        <v>0.99835114192125218</v>
      </c>
      <c r="AD9" s="124">
        <v>1</v>
      </c>
      <c r="AE9" s="113"/>
      <c r="AF9" s="113"/>
      <c r="AG9" s="122"/>
      <c r="AH9" s="113"/>
      <c r="AI9" s="113"/>
    </row>
    <row r="10" spans="1:35" ht="13">
      <c r="A10" s="5" t="s">
        <v>7</v>
      </c>
      <c r="F10" s="32"/>
      <c r="Z10" s="113"/>
      <c r="AA10" s="113">
        <v>8</v>
      </c>
      <c r="AB10" s="122">
        <f>1/((1+'KJ-vuosi'!B11)^((DAY('Virkamies 1'!$F$7))/360))</f>
        <v>1</v>
      </c>
      <c r="AC10" s="113">
        <f>+(1+'KJ-vuosi'!B11)^(-1/12)</f>
        <v>0.99835114192125218</v>
      </c>
      <c r="AD10" s="123">
        <f>+AC9</f>
        <v>0.99835114192125218</v>
      </c>
      <c r="AE10" s="113"/>
      <c r="AF10" s="113"/>
      <c r="AG10" s="122"/>
      <c r="AH10" s="113"/>
      <c r="AI10" s="113"/>
    </row>
    <row r="11" spans="1:35" ht="13">
      <c r="A11" s="5" t="s">
        <v>17</v>
      </c>
      <c r="F11" s="32"/>
      <c r="Z11" s="113"/>
      <c r="AA11" s="113">
        <v>9</v>
      </c>
      <c r="AB11" s="122">
        <f>1/((1+'KJ-vuosi'!B12)^((DAY('Virkamies 1'!$F$7))/360))</f>
        <v>1</v>
      </c>
      <c r="AC11" s="113">
        <f>+(1+'KJ-vuosi'!B12)^(-1/12)</f>
        <v>0.99835114192125218</v>
      </c>
      <c r="AD11" s="123">
        <f>+AD10*AC10</f>
        <v>0.99670500257546824</v>
      </c>
      <c r="AE11" s="113"/>
      <c r="AF11" s="113"/>
      <c r="AG11" s="122"/>
      <c r="AH11" s="113"/>
      <c r="AI11" s="113"/>
    </row>
    <row r="12" spans="1:35">
      <c r="B12" s="113" t="s">
        <v>120</v>
      </c>
      <c r="F12" s="29"/>
      <c r="G12" s="13"/>
      <c r="I12" s="13"/>
      <c r="Z12" s="113"/>
      <c r="AA12" s="113">
        <v>10</v>
      </c>
      <c r="AB12" s="122">
        <f>1/((1+'KJ-vuosi'!B13)^((DAY('Virkamies 1'!$F$7))/360))</f>
        <v>1</v>
      </c>
      <c r="AC12" s="113">
        <f>+(1+'KJ-vuosi'!B13)^(-1/12)</f>
        <v>0.99835114192125218</v>
      </c>
      <c r="AD12" s="123">
        <f>+AD11*AC11</f>
        <v>0.99506157747984336</v>
      </c>
      <c r="AE12" s="113"/>
      <c r="AF12" s="122"/>
      <c r="AG12" s="122"/>
      <c r="AH12" s="113"/>
      <c r="AI12" s="113"/>
    </row>
    <row r="13" spans="1:35">
      <c r="B13" s="6" t="s">
        <v>42</v>
      </c>
      <c r="F13" s="29"/>
      <c r="Z13" s="113"/>
      <c r="AA13" s="113">
        <v>11</v>
      </c>
      <c r="AB13" s="122">
        <f>1/((1+'KJ-vuosi'!B14)^((DAY('Virkamies 1'!$F$7))/360))</f>
        <v>1</v>
      </c>
      <c r="AC13" s="113">
        <f>+(1+'KJ-vuosi'!B14)^(-1/12)</f>
        <v>0.99835114192125218</v>
      </c>
      <c r="AD13" s="123">
        <f>+AD12*AC12</f>
        <v>0.99342086215896419</v>
      </c>
      <c r="AE13" s="113"/>
      <c r="AF13" s="113"/>
      <c r="AG13" s="122"/>
      <c r="AH13" s="113"/>
      <c r="AI13" s="113"/>
    </row>
    <row r="14" spans="1:35">
      <c r="B14" s="6" t="s">
        <v>93</v>
      </c>
      <c r="F14" s="29"/>
      <c r="Z14" s="113"/>
      <c r="AA14" s="113">
        <v>12</v>
      </c>
      <c r="AB14" s="122">
        <f>1/((1+'KJ-vuosi'!B15)^((DAY('Virkamies 1'!$F$7))/360))</f>
        <v>1</v>
      </c>
      <c r="AC14" s="113">
        <f>+(1+'KJ-vuosi'!B15)^(-1/12)</f>
        <v>0.99835114192125218</v>
      </c>
      <c r="AD14" s="123">
        <f>+AD13*AC13</f>
        <v>0.99178285214479678</v>
      </c>
      <c r="AE14" s="113"/>
      <c r="AF14" s="113"/>
      <c r="AG14" s="122"/>
      <c r="AH14" s="113"/>
      <c r="AI14" s="113"/>
    </row>
    <row r="15" spans="1:35">
      <c r="B15" s="6" t="s">
        <v>43</v>
      </c>
      <c r="F15" s="29"/>
      <c r="I15" s="104"/>
      <c r="Z15" s="113"/>
      <c r="AA15" s="113"/>
      <c r="AB15" s="113"/>
      <c r="AC15" s="113"/>
      <c r="AD15" s="123"/>
      <c r="AE15" s="113"/>
      <c r="AF15" s="113"/>
      <c r="AG15" s="122"/>
      <c r="AH15" s="113"/>
      <c r="AI15" s="113"/>
    </row>
    <row r="16" spans="1:35">
      <c r="B16" s="6" t="s">
        <v>44</v>
      </c>
      <c r="F16" s="29"/>
      <c r="Z16" s="113"/>
      <c r="AA16" s="113"/>
      <c r="AB16" s="113"/>
      <c r="AC16" s="113"/>
      <c r="AD16" s="123"/>
      <c r="AE16" s="113"/>
      <c r="AF16" s="113"/>
      <c r="AG16" s="113"/>
      <c r="AH16" s="113"/>
      <c r="AI16" s="113"/>
    </row>
    <row r="17" spans="1:35">
      <c r="B17" s="6" t="s">
        <v>69</v>
      </c>
      <c r="F17" s="29"/>
      <c r="Z17" s="113"/>
      <c r="AA17" s="113"/>
      <c r="AB17" s="113"/>
      <c r="AC17" s="113"/>
      <c r="AD17" s="123"/>
      <c r="AE17" s="113"/>
      <c r="AF17" s="113"/>
      <c r="AG17" s="113"/>
      <c r="AH17" s="113"/>
      <c r="AI17" s="113"/>
    </row>
    <row r="18" spans="1:35">
      <c r="F18" s="13"/>
      <c r="Z18" s="113"/>
      <c r="AA18" s="113"/>
      <c r="AB18" s="113"/>
      <c r="AC18" s="113"/>
      <c r="AD18" s="123"/>
      <c r="AE18" s="113"/>
      <c r="AF18" s="113"/>
      <c r="AG18" s="113"/>
      <c r="AH18" s="113"/>
      <c r="AI18" s="113"/>
    </row>
    <row r="19" spans="1:35" ht="13">
      <c r="A19" s="5" t="s">
        <v>154</v>
      </c>
      <c r="F19" s="13"/>
      <c r="Z19" s="113"/>
      <c r="AA19" s="113"/>
      <c r="AB19" s="113"/>
      <c r="AC19" s="113"/>
      <c r="AD19" s="123"/>
      <c r="AE19" s="113"/>
      <c r="AF19" s="113"/>
      <c r="AG19" s="113"/>
      <c r="AH19" s="113"/>
      <c r="AI19" s="113"/>
    </row>
    <row r="20" spans="1:35" ht="13">
      <c r="A20" s="5" t="s">
        <v>17</v>
      </c>
      <c r="F20" s="13"/>
      <c r="Z20" s="113"/>
      <c r="AA20" s="113"/>
      <c r="AB20" s="113" t="s">
        <v>73</v>
      </c>
      <c r="AC20" s="113" t="s">
        <v>20</v>
      </c>
      <c r="AD20" s="123" t="s">
        <v>21</v>
      </c>
      <c r="AE20" s="113"/>
      <c r="AF20" s="113"/>
      <c r="AG20" s="113"/>
      <c r="AH20" s="121" t="str">
        <f>LEFT(F5,2)&amp;"."&amp;MID(F5,3,2)&amp;".19"&amp;MID(F5,5,2)</f>
        <v>..19</v>
      </c>
      <c r="AI20" s="113"/>
    </row>
    <row r="21" spans="1:35">
      <c r="B21" s="113" t="s">
        <v>149</v>
      </c>
      <c r="F21" s="29"/>
      <c r="G21" s="13"/>
      <c r="Z21" s="113"/>
      <c r="AA21" s="113"/>
      <c r="AB21" s="113" t="s">
        <v>74</v>
      </c>
      <c r="AC21" s="113"/>
      <c r="AD21" s="123"/>
      <c r="AE21" s="113"/>
      <c r="AF21" s="113"/>
      <c r="AG21" s="113"/>
      <c r="AH21" s="113"/>
      <c r="AI21" s="113"/>
    </row>
    <row r="22" spans="1:35">
      <c r="B22" s="113" t="s">
        <v>150</v>
      </c>
      <c r="F22" s="29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23">
        <f>AC23*AD23</f>
        <v>1.0082852288053108</v>
      </c>
      <c r="AE22" s="113"/>
      <c r="AF22" s="113"/>
      <c r="AG22" s="113"/>
      <c r="AH22" s="113"/>
      <c r="AI22" s="113"/>
    </row>
    <row r="23" spans="1:35">
      <c r="B23" s="6" t="s">
        <v>112</v>
      </c>
      <c r="F23" s="102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23">
        <f t="shared" ref="AD23:AD26" si="1">AC24*AD24</f>
        <v>1.006622709560113</v>
      </c>
      <c r="AE23" s="113"/>
      <c r="AF23" s="113"/>
      <c r="AG23" s="113"/>
      <c r="AH23" s="113"/>
      <c r="AI23" s="113"/>
    </row>
    <row r="24" spans="1:35">
      <c r="B24" s="113" t="s">
        <v>151</v>
      </c>
      <c r="F24" s="29"/>
      <c r="G24" s="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23">
        <f t="shared" si="1"/>
        <v>1.0049629315732038</v>
      </c>
      <c r="AE24" s="113"/>
      <c r="AF24" s="113"/>
      <c r="AG24" s="113"/>
      <c r="AH24" s="113"/>
      <c r="AI24" s="113"/>
    </row>
    <row r="25" spans="1:35">
      <c r="B25" s="113" t="s">
        <v>152</v>
      </c>
      <c r="F25" s="29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23">
        <f t="shared" si="1"/>
        <v>1.0033058903246372</v>
      </c>
      <c r="AE25" s="113"/>
      <c r="AF25" s="113"/>
      <c r="AG25" s="113"/>
      <c r="AH25" s="113"/>
      <c r="AI25" s="113"/>
    </row>
    <row r="26" spans="1:35">
      <c r="B26" s="6" t="s">
        <v>113</v>
      </c>
      <c r="F26" s="102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23">
        <f t="shared" si="1"/>
        <v>1.0016515813019202</v>
      </c>
      <c r="AE26" s="113"/>
      <c r="AF26" s="113"/>
      <c r="AG26" s="113"/>
      <c r="AH26" s="113"/>
      <c r="AI26" s="113"/>
    </row>
    <row r="27" spans="1:35"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24">
        <v>1</v>
      </c>
      <c r="AE27" s="113"/>
      <c r="AF27" s="113"/>
      <c r="AG27" s="113"/>
      <c r="AH27" s="113"/>
      <c r="AI27" s="113"/>
    </row>
    <row r="28" spans="1:35" ht="13">
      <c r="A28" s="5" t="s">
        <v>153</v>
      </c>
      <c r="B28" s="5"/>
      <c r="F28" s="100">
        <f>F7</f>
        <v>0</v>
      </c>
      <c r="Z28" s="113"/>
      <c r="AA28" s="113">
        <v>7</v>
      </c>
      <c r="AB28" s="122">
        <f>1/((1+'KJ-vuosi'!$B$16)^((DAY('Virkamies 1'!$F$7))/360))</f>
        <v>1</v>
      </c>
      <c r="AC28" s="113">
        <f>+(1+'KJ-vuosi'!B16)^(-1/12)</f>
        <v>0.99835114192125218</v>
      </c>
      <c r="AD28" s="124">
        <v>1</v>
      </c>
      <c r="AE28" s="113"/>
      <c r="AF28" s="113"/>
      <c r="AG28" s="113"/>
      <c r="AH28" s="113"/>
      <c r="AI28" s="113"/>
    </row>
    <row r="29" spans="1:35">
      <c r="B29" s="6" t="s">
        <v>103</v>
      </c>
      <c r="F29" s="29"/>
      <c r="Z29" s="113"/>
      <c r="AA29" s="113">
        <v>8</v>
      </c>
      <c r="AB29" s="122">
        <f>1/((1+'KJ-vuosi'!$B$16)^((DAY('Virkamies 1'!$F$7))/360))</f>
        <v>1</v>
      </c>
      <c r="AC29" s="113">
        <f>+(1+'KJ-vuosi'!B16)^(-1/12)</f>
        <v>0.99835114192125218</v>
      </c>
      <c r="AD29" s="123">
        <f>AC28</f>
        <v>0.99835114192125218</v>
      </c>
      <c r="AE29" s="113"/>
      <c r="AF29" s="113"/>
      <c r="AG29" s="113"/>
      <c r="AH29" s="113"/>
      <c r="AI29" s="113"/>
    </row>
    <row r="30" spans="1:35">
      <c r="B30" s="6" t="s">
        <v>104</v>
      </c>
      <c r="F30" s="29"/>
      <c r="Z30" s="113"/>
      <c r="AA30" s="113">
        <v>9</v>
      </c>
      <c r="AB30" s="122">
        <f>1/((1+'KJ-vuosi'!$B$16)^((DAY('Virkamies 1'!$F$7))/360))</f>
        <v>1</v>
      </c>
      <c r="AC30" s="113">
        <f>+(1+'KJ-vuosi'!B16)^(-1/12)</f>
        <v>0.99835114192125218</v>
      </c>
      <c r="AD30" s="123">
        <f>AD29*AC29</f>
        <v>0.99670500257546824</v>
      </c>
      <c r="AE30" s="113"/>
      <c r="AF30" s="113"/>
      <c r="AG30" s="113"/>
      <c r="AH30" s="113"/>
      <c r="AI30" s="113"/>
    </row>
    <row r="31" spans="1:35">
      <c r="B31" s="6" t="s">
        <v>105</v>
      </c>
      <c r="F31" s="29"/>
      <c r="Z31" s="113"/>
      <c r="AA31" s="113">
        <v>10</v>
      </c>
      <c r="AB31" s="122">
        <f>1/((1+'KJ-vuosi'!$B$16)^((DAY('Virkamies 1'!$F$7))/360))</f>
        <v>1</v>
      </c>
      <c r="AC31" s="113">
        <f>+(1+'KJ-vuosi'!B16)^(-1/12)</f>
        <v>0.99835114192125218</v>
      </c>
      <c r="AD31" s="123">
        <f>AD30*AC30</f>
        <v>0.99506157747984336</v>
      </c>
      <c r="AE31" s="113"/>
      <c r="AF31" s="113"/>
      <c r="AG31" s="113"/>
      <c r="AH31" s="113"/>
      <c r="AI31" s="113"/>
    </row>
    <row r="32" spans="1:35">
      <c r="B32" s="6" t="s">
        <v>106</v>
      </c>
      <c r="F32" s="29"/>
      <c r="Z32" s="113"/>
      <c r="AA32" s="113">
        <v>11</v>
      </c>
      <c r="AB32" s="122">
        <f>1/((1+'KJ-vuosi'!$B$16)^((DAY('Virkamies 1'!$F$7))/360))</f>
        <v>1</v>
      </c>
      <c r="AC32" s="113">
        <f>+(1+'KJ-vuosi'!B16)^(-1/12)</f>
        <v>0.99835114192125218</v>
      </c>
      <c r="AD32" s="123">
        <f>AD31*AC31</f>
        <v>0.99342086215896419</v>
      </c>
      <c r="AE32" s="113"/>
      <c r="AF32" s="113"/>
      <c r="AG32" s="113"/>
      <c r="AH32" s="113"/>
      <c r="AI32" s="113"/>
    </row>
    <row r="33" spans="1:35">
      <c r="B33" s="6" t="s">
        <v>107</v>
      </c>
      <c r="F33" s="29"/>
      <c r="Z33" s="113"/>
      <c r="AA33" s="113">
        <v>12</v>
      </c>
      <c r="AB33" s="122">
        <f>1/((1+'KJ-vuosi'!$B$16)^((DAY('Virkamies 1'!$F$7))/360))</f>
        <v>1</v>
      </c>
      <c r="AC33" s="113">
        <f>+(1+'KJ-vuosi'!B16)^(-1/12)</f>
        <v>0.99835114192125218</v>
      </c>
      <c r="AD33" s="123">
        <f>AD32*AC32</f>
        <v>0.99178285214479678</v>
      </c>
      <c r="AE33" s="113"/>
      <c r="AF33" s="113"/>
      <c r="AG33" s="113"/>
      <c r="AH33" s="113"/>
      <c r="AI33" s="113"/>
    </row>
    <row r="34" spans="1:35">
      <c r="B34" s="6" t="s">
        <v>108</v>
      </c>
      <c r="F34" s="29"/>
    </row>
    <row r="36" spans="1:35">
      <c r="A36" s="6" t="s">
        <v>27</v>
      </c>
      <c r="F36" s="13"/>
    </row>
    <row r="38" spans="1:35" ht="18">
      <c r="A38" s="1" t="s">
        <v>28</v>
      </c>
      <c r="I38" s="13"/>
    </row>
    <row r="39" spans="1:35">
      <c r="I39" s="13"/>
    </row>
    <row r="40" spans="1:35">
      <c r="A40" s="6" t="s">
        <v>163</v>
      </c>
      <c r="D40" s="119">
        <f>IF(F6="",18,YEAR(F6)-(1900+MID(F5,5,2)))</f>
        <v>18</v>
      </c>
      <c r="F40" s="13"/>
      <c r="I40" s="13"/>
    </row>
    <row r="41" spans="1:35">
      <c r="A41" s="113" t="s">
        <v>125</v>
      </c>
      <c r="D41" s="33" t="str">
        <f>+"1.7."&amp;TEXT('KJ-vuosi'!$B$3,0)</f>
        <v>1.7.2021</v>
      </c>
      <c r="I41" s="13"/>
    </row>
    <row r="42" spans="1:35">
      <c r="C42" s="32"/>
      <c r="I42" s="13"/>
    </row>
    <row r="43" spans="1:35" ht="13">
      <c r="A43" s="5" t="s">
        <v>8</v>
      </c>
      <c r="I43" s="13"/>
    </row>
    <row r="44" spans="1:35">
      <c r="C44" s="7" t="s">
        <v>14</v>
      </c>
      <c r="D44" s="7" t="s">
        <v>23</v>
      </c>
      <c r="E44" s="114" t="s">
        <v>119</v>
      </c>
      <c r="I44" s="13"/>
    </row>
    <row r="45" spans="1:35">
      <c r="C45" s="7" t="s">
        <v>9</v>
      </c>
      <c r="D45" s="9" t="s">
        <v>24</v>
      </c>
      <c r="E45" s="7" t="s">
        <v>26</v>
      </c>
      <c r="I45" s="13"/>
    </row>
    <row r="46" spans="1:35">
      <c r="C46" s="8"/>
      <c r="D46" s="9" t="s">
        <v>25</v>
      </c>
      <c r="E46" s="7" t="str">
        <f>+D41&amp;")"</f>
        <v>1.7.2021)</v>
      </c>
      <c r="I46" s="13"/>
    </row>
    <row r="47" spans="1:35">
      <c r="C47" s="8"/>
      <c r="E47" s="9"/>
      <c r="I47" s="13"/>
      <c r="J47" s="32"/>
    </row>
    <row r="48" spans="1:35" ht="13">
      <c r="A48" s="5" t="s">
        <v>88</v>
      </c>
      <c r="C48" s="8"/>
      <c r="D48" s="8"/>
      <c r="E48" s="9"/>
      <c r="I48" s="13"/>
    </row>
    <row r="49" spans="1:11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11" ht="13">
      <c r="A50" s="5"/>
      <c r="C50" s="11">
        <f>'Virkamies 1'!F$6</f>
        <v>0</v>
      </c>
      <c r="D50" s="11">
        <f>'Virkamies 1'!F$8</f>
        <v>0</v>
      </c>
      <c r="E50" s="21" t="str">
        <f>$D$41</f>
        <v>1.7.2021</v>
      </c>
      <c r="F50" s="11"/>
      <c r="G50" s="7" t="s">
        <v>60</v>
      </c>
      <c r="I50" s="6" t="s">
        <v>90</v>
      </c>
      <c r="K50" s="82"/>
    </row>
    <row r="51" spans="1:11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1'!$F$7),aika1,4))*(VLOOKUP(MONTH('Virkamies 1'!$F$7),aika1,2)),2)</f>
        <v>0</v>
      </c>
      <c r="G51" s="7" t="s">
        <v>61</v>
      </c>
      <c r="I51" s="6" t="s">
        <v>91</v>
      </c>
      <c r="K51" s="82"/>
    </row>
    <row r="52" spans="1:11">
      <c r="A52" s="10" t="s">
        <v>2</v>
      </c>
      <c r="C52" s="17">
        <f>'Virkamies 1'!$F$12*12*VLOOKUP($D$40,IF(DAYS360('poa2021'!$B$1,$F$6)&gt;0,'poa2021'!$F$5:$I$57,vastuunjako),3)</f>
        <v>0</v>
      </c>
      <c r="D52" s="17">
        <f>C52*(1+0.031*((IF(DAY('Virkamies 1'!$F$8)=31,DAYS360('Virkamies 1'!$F$6,'Virkamies 1'!$F$8,TRUE)-1,DAYS360('Virkamies 1'!$F$6,'Virkamies 1'!$F$8,TRUE)))/360))</f>
        <v>0</v>
      </c>
      <c r="E52" s="25">
        <f>ROUND(D52*(VLOOKUP(MONTH('Virkamies 1'!$F$7),aika1,4))*(VLOOKUP(MONTH('Virkamies 1'!$F$7),aika1,2)),2)</f>
        <v>0</v>
      </c>
      <c r="G52" s="82">
        <f>E52</f>
        <v>0</v>
      </c>
      <c r="K52" s="82"/>
    </row>
    <row r="53" spans="1:11">
      <c r="A53" s="14" t="s">
        <v>3</v>
      </c>
      <c r="B53" s="28"/>
      <c r="C53" s="15">
        <f>'Virkamies 1'!$F$12*12*VLOOKUP($D$40,IF(DAYS360('poa2021'!$B$1,$F$6)&gt;0,'poa2021'!$F$5:$I$57,vastuunjako),4)</f>
        <v>0</v>
      </c>
      <c r="D53" s="15">
        <f>C53*(1+0.031*((IF(DAY('Virkamies 1'!$F$8)=31,DAYS360('Virkamies 1'!$F$6,'Virkamies 1'!$F$8,TRUE)-1,DAYS360('Virkamies 1'!$F$6,'Virkamies 1'!$F$8,TRUE)))/360))</f>
        <v>0</v>
      </c>
      <c r="E53" s="26">
        <f>ROUND(D53*(VLOOKUP(MONTH('Virkamies 1'!$F$7),aika1,4))*(VLOOKUP(MONTH('Virkamies 1'!$F$7),aika1,2)),2)</f>
        <v>0</v>
      </c>
      <c r="G53" s="15">
        <f>E53</f>
        <v>0</v>
      </c>
      <c r="I53" s="28"/>
      <c r="K53" s="82"/>
    </row>
    <row r="54" spans="1:11" ht="13">
      <c r="A54" s="6" t="s">
        <v>10</v>
      </c>
      <c r="C54" s="32">
        <f>'Virkamies 1'!$F$12*12*VLOOKUP($D$40,IF(DAYS360('poa2021'!$B$1,$F$6)&gt;0,'poa2021'!$B$5:$C$57,perusturva),2)</f>
        <v>0</v>
      </c>
      <c r="D54" s="32">
        <f>C54*(1+0.031*((IF(DAY('Virkamies 1'!$F$8)=31,DAYS360('Virkamies 1'!$F$6,'Virkamies 1'!$F$8,TRUE)-1,DAYS360('Virkamies 1'!$F$6,'Virkamies 1'!$F$8,TRUE)))/360))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1'!$F$14*12*VLOOKUP($D$40,IF(DAYS360('poa2021'!B1,F6)&gt;0,'poa2021'!B5:C57,perusturva),2))*(1+0.031*((IF(DAY('Virkamies 1'!$F$8)=31,DAYS360('Virkamies 1'!$F$6,'Virkamies 1'!$F$8,TRUE)-1,DAYS360('Virkamies 1'!$F$6,'Virkamies 1'!$F$8,TRUE)))/360))*(VLOOKUP(MONTH('Virkamies 1'!$F$7),aika1,4))*(VLOOKUP(MONTH('Virkamies 1'!$F$7),aika1,2))),2)</f>
        <v>0</v>
      </c>
      <c r="K54" s="82"/>
    </row>
    <row r="55" spans="1:11">
      <c r="C55" s="13"/>
      <c r="D55" s="13"/>
      <c r="E55" s="13"/>
    </row>
    <row r="56" spans="1:11" ht="13">
      <c r="A56" s="5" t="s">
        <v>16</v>
      </c>
      <c r="C56" s="13"/>
      <c r="D56" s="13"/>
      <c r="E56" s="13"/>
      <c r="I56" s="13"/>
    </row>
    <row r="57" spans="1:11">
      <c r="C57" s="7" t="s">
        <v>15</v>
      </c>
      <c r="D57" s="7" t="s">
        <v>15</v>
      </c>
      <c r="E57" s="7" t="s">
        <v>15</v>
      </c>
    </row>
    <row r="58" spans="1:11" ht="13">
      <c r="A58" s="5"/>
      <c r="C58" s="11">
        <f>'Virkamies 1'!F$6</f>
        <v>0</v>
      </c>
      <c r="D58" s="11">
        <f>'Virkamies 1'!F$8</f>
        <v>0</v>
      </c>
      <c r="E58" s="21" t="str">
        <f>$D$41</f>
        <v>1.7.2021</v>
      </c>
    </row>
    <row r="59" spans="1:11" ht="13">
      <c r="A59" s="10" t="s">
        <v>1</v>
      </c>
      <c r="C59" s="83">
        <f>C62-C61-C60</f>
        <v>0</v>
      </c>
      <c r="D59" s="83">
        <f>+D62-D61-D60</f>
        <v>0</v>
      </c>
      <c r="E59" s="91">
        <f>ROUND(D59*(VLOOKUP(MONTH('Virkamies 1'!$F$7),aika1,4))*(VLOOKUP(MONTH('Virkamies 1'!$F$7),aika1,2)),2)</f>
        <v>0</v>
      </c>
    </row>
    <row r="60" spans="1:11">
      <c r="A60" s="10" t="s">
        <v>2</v>
      </c>
      <c r="C60" s="17">
        <f>'Virkamies 1'!$F$13*12*VLOOKUP($D$40,IF(DAYS360('poa2021'!$B$1,$F$6)&gt;0,'poa2021'!$F$5:$I$57,vastuunjako),3)</f>
        <v>0</v>
      </c>
      <c r="D60" s="83">
        <f>C60*(1+0.031*((IF(DAY('Virkamies 1'!$F$8)=31,DAYS360('Virkamies 1'!$F$6,'Virkamies 1'!$F$8,TRUE)-1,DAYS360('Virkamies 1'!$F$6,'Virkamies 1'!$F$8,TRUE)))/360))</f>
        <v>0</v>
      </c>
      <c r="E60" s="84">
        <f>ROUND(D60*(VLOOKUP(MONTH('Virkamies 1'!$F$7),aika1,4))*(VLOOKUP(MONTH('Virkamies 1'!$F$7),aika1,2)),2)</f>
        <v>0</v>
      </c>
    </row>
    <row r="61" spans="1:11">
      <c r="A61" s="14" t="s">
        <v>3</v>
      </c>
      <c r="B61" s="28"/>
      <c r="C61" s="15">
        <f>'Virkamies 1'!$F$13*12*VLOOKUP($D$40,IF(DAYS360('poa2021'!$B$1,$F$6)&gt;0,'poa2021'!$F$5:$I$57,vastuunjako),4)</f>
        <v>0</v>
      </c>
      <c r="D61" s="85">
        <f>C61*(1+0.031*((IF(DAY('Virkamies 1'!$F$8)=31,DAYS360('Virkamies 1'!$F$6,'Virkamies 1'!$F$8,TRUE)-1,DAYS360('Virkamies 1'!$F$6,'Virkamies 1'!$F$8,TRUE)))/360))</f>
        <v>0</v>
      </c>
      <c r="E61" s="86">
        <f>ROUND(D61*(VLOOKUP(MONTH('Virkamies 1'!$F$7),aika1,4))*(VLOOKUP(MONTH('Virkamies 1'!$F$7),aika1,2)),2)</f>
        <v>0</v>
      </c>
    </row>
    <row r="62" spans="1:11">
      <c r="A62" s="6" t="s">
        <v>10</v>
      </c>
      <c r="C62" s="32">
        <f>'Virkamies 1'!$F$13*12*VLOOKUP($D$40,IF(DAYS360('poa2021'!$B$1,$F$6)&gt;0,'poa2021'!$B$5:$C$57,perusturva),2)</f>
        <v>0</v>
      </c>
      <c r="D62" s="13">
        <f>C62*(1+0.031*((IF(DAY('Virkamies 1'!$F$8)=31,DAYS360('Virkamies 1'!$F$6,'Virkamies 1'!$F$8,TRUE)-1,DAYS360('Virkamies 1'!$F$6,'Virkamies 1'!$F$8,TRUE)))/360))</f>
        <v>0</v>
      </c>
      <c r="E62" s="13">
        <f>SUM(E59:E61)</f>
        <v>0</v>
      </c>
      <c r="F62" s="52"/>
    </row>
    <row r="63" spans="1:11">
      <c r="C63" s="13"/>
      <c r="D63" s="13"/>
      <c r="E63" s="13"/>
    </row>
    <row r="64" spans="1:11" ht="13">
      <c r="A64" s="5" t="s">
        <v>12</v>
      </c>
      <c r="C64" s="13"/>
    </row>
    <row r="65" spans="1:9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9" ht="13">
      <c r="A66" s="5"/>
      <c r="C66" s="11">
        <f>'Virkamies 1'!F$6</f>
        <v>0</v>
      </c>
      <c r="D66" s="11">
        <f>'Virkamies 1'!F$8</f>
        <v>0</v>
      </c>
      <c r="E66" s="21" t="str">
        <f>$D$41</f>
        <v>1.7.2021</v>
      </c>
      <c r="G66" s="7" t="s">
        <v>62</v>
      </c>
      <c r="I66" s="4"/>
    </row>
    <row r="67" spans="1:9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1'!$F$7),aikaYEL1,4))*(VLOOKUP(MONTH('Virkamies 1'!$F$7),aikaYEL1,2)),2)</f>
        <v>0</v>
      </c>
      <c r="G67" s="7" t="s">
        <v>63</v>
      </c>
    </row>
    <row r="68" spans="1:9">
      <c r="A68" s="10" t="s">
        <v>2</v>
      </c>
      <c r="C68" s="17">
        <f>'Virkamies 1'!$F$15*12*VLOOKUP($D$40,IF(DAYS360('poa2021'!$B$1,$F$6)&gt;0,'poa2021'!$F$5:$I$57,vastuunjako),3)</f>
        <v>0</v>
      </c>
      <c r="D68" s="17">
        <f>C68*(1+0.031*((IF(DAY('Virkamies 1'!$F$8)=31,DAYS360('Virkamies 1'!$F$6,'Virkamies 1'!$F$8,TRUE)-1,DAYS360('Virkamies 1'!$F$6,'Virkamies 1'!$F$8,TRUE)))/360))</f>
        <v>0</v>
      </c>
      <c r="E68" s="25">
        <f>ROUND(D68*(VLOOKUP(MONTH('Virkamies 1'!$F$7),aikaYEL1,4))*(VLOOKUP(MONTH('Virkamies 1'!$F$7),aikaYEL1,2)),2)</f>
        <v>0</v>
      </c>
      <c r="G68" s="13">
        <f>E68</f>
        <v>0</v>
      </c>
    </row>
    <row r="69" spans="1:9">
      <c r="A69" s="14" t="s">
        <v>3</v>
      </c>
      <c r="B69" s="28"/>
      <c r="C69" s="15">
        <f>'Virkamies 1'!$F$15*12*VLOOKUP($D$40,IF(DAYS360('poa2021'!$B$1,$F$6)&gt;0,'poa2021'!$F$5:$I$57,vastuunjako),4)</f>
        <v>0</v>
      </c>
      <c r="D69" s="15">
        <f>C69*(1+0.031*((IF(DAY('Virkamies 1'!$F$8)=31,DAYS360('Virkamies 1'!$F$6,'Virkamies 1'!$F$8,TRUE)-1,DAYS360('Virkamies 1'!$F$6,'Virkamies 1'!$F$8,TRUE)))/360))</f>
        <v>0</v>
      </c>
      <c r="E69" s="26">
        <f>ROUND(D69*(VLOOKUP(MONTH('Virkamies 1'!$F$7),aikaYEL1,4))*(VLOOKUP(MONTH('Virkamies 1'!$F$7),aikaYEL1,2)),2)</f>
        <v>0</v>
      </c>
      <c r="G69" s="15">
        <f>E69</f>
        <v>0</v>
      </c>
    </row>
    <row r="70" spans="1:9" ht="13">
      <c r="A70" s="6" t="s">
        <v>10</v>
      </c>
      <c r="C70" s="32">
        <f>'Virkamies 1'!$F$15*12*VLOOKUP($D$40,IF(DAYS360('poa2021'!$B$1,$F$6)&gt;0,'poa2021'!$B$5:$C$57,perusturva),2)</f>
        <v>0</v>
      </c>
      <c r="D70" s="83">
        <f>C70*(1+0.031*((IF(DAY('Virkamies 1'!$F$8)=31,DAYS360('Virkamies 1'!$F$6,'Virkamies 1'!$F$8,TRUE)-1,DAYS360('Virkamies 1'!$F$6,'Virkamies 1'!$F$8,TRUE)))/360))</f>
        <v>0</v>
      </c>
      <c r="E70" s="83">
        <f>SUM(E67:E69)</f>
        <v>0</v>
      </c>
      <c r="F70" s="52"/>
      <c r="G70" s="44">
        <f>SUM(G68:G69)</f>
        <v>0</v>
      </c>
    </row>
    <row r="71" spans="1:9">
      <c r="C71" s="10"/>
      <c r="G71" s="16"/>
    </row>
    <row r="72" spans="1:9" ht="13">
      <c r="A72" s="5" t="s">
        <v>4</v>
      </c>
      <c r="C72" s="13"/>
      <c r="G72" s="16"/>
    </row>
    <row r="73" spans="1:9" ht="13">
      <c r="A73" s="5"/>
      <c r="C73" s="7" t="s">
        <v>15</v>
      </c>
      <c r="D73" s="7" t="s">
        <v>15</v>
      </c>
      <c r="E73" s="7" t="s">
        <v>15</v>
      </c>
      <c r="G73" s="16"/>
    </row>
    <row r="74" spans="1:9" ht="13">
      <c r="A74" s="5"/>
      <c r="C74" s="11">
        <f>'Virkamies 1'!F$6</f>
        <v>0</v>
      </c>
      <c r="D74" s="11">
        <f>'Virkamies 1'!F$8</f>
        <v>0</v>
      </c>
      <c r="E74" s="21" t="str">
        <f>$D$41</f>
        <v>1.7.2021</v>
      </c>
      <c r="G74" s="16"/>
    </row>
    <row r="75" spans="1:9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1'!$F$7),aika1,4))*(VLOOKUP(MONTH('Virkamies 1'!$F$7),aika1,2)),2)</f>
        <v>0</v>
      </c>
      <c r="G75" s="16"/>
    </row>
    <row r="76" spans="1:9" ht="13">
      <c r="A76" s="10" t="s">
        <v>2</v>
      </c>
      <c r="C76" s="17">
        <f>'Virkamies 1'!$F$16*12*VLOOKUP($D$40,IF(DAYS360('poa2021'!$B$1,$F$6)&gt;0,'poa2021'!$F$5:$I$57,vastuunjako),3)</f>
        <v>0</v>
      </c>
      <c r="D76" s="17">
        <f>C76*(1+0.031*((IF(DAY('Virkamies 1'!$F$8)=31,DAYS360('Virkamies 1'!$F$6,'Virkamies 1'!$F$8,TRUE)-1,DAYS360('Virkamies 1'!$F$6,'Virkamies 1'!$F$8,TRUE)))/360))</f>
        <v>0</v>
      </c>
      <c r="E76" s="24">
        <f>ROUND(D76*(VLOOKUP(MONTH('Virkamies 1'!$F$7),aika1,4))*(VLOOKUP(MONTH('Virkamies 1'!$F$7),aika1,2)),2)</f>
        <v>0</v>
      </c>
      <c r="G76" s="16"/>
    </row>
    <row r="77" spans="1:9" ht="13">
      <c r="A77" s="14" t="s">
        <v>3</v>
      </c>
      <c r="B77" s="28"/>
      <c r="C77" s="15">
        <f>'Virkamies 1'!$F$16*12*VLOOKUP($D$40,IF(DAYS360('poa2021'!$B$1,$F$6)&gt;0,'poa2021'!$F$5:$I$57,vastuunjako),4)</f>
        <v>0</v>
      </c>
      <c r="D77" s="15">
        <f>C77*(1+0.031*((IF(DAY('Virkamies 1'!$F$8)=31,DAYS360('Virkamies 1'!$F$6,'Virkamies 1'!$F$8,TRUE)-1,DAYS360('Virkamies 1'!$F$6,'Virkamies 1'!$F$8,TRUE)))/360))</f>
        <v>0</v>
      </c>
      <c r="E77" s="90">
        <f>ROUND(D77*(VLOOKUP(MONTH('Virkamies 1'!$F$7),aika1,4))*(VLOOKUP(MONTH('Virkamies 1'!$F$7),aika1,2)),2)</f>
        <v>0</v>
      </c>
      <c r="G77" s="16"/>
    </row>
    <row r="78" spans="1:9">
      <c r="A78" s="6" t="s">
        <v>10</v>
      </c>
      <c r="C78" s="32">
        <f>'Virkamies 1'!$F$16*12*VLOOKUP($D$40,IF(DAYS360('poa2021'!$B$1,$F$6)&gt;0,'poa2021'!$B$5:$C$57,perusturva),2)</f>
        <v>0</v>
      </c>
      <c r="D78" s="17">
        <f>C78*(1+0.031*((IF(DAY('Virkamies 1'!$F$8)=31,DAYS360('Virkamies 1'!$F$6,'Virkamies 1'!$F$8,TRUE)-1,DAYS360('Virkamies 1'!$F$6,'Virkamies 1'!$F$8,TRUE)))/360))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9">
      <c r="C79" s="17"/>
      <c r="D79" s="17"/>
      <c r="E79" s="17"/>
      <c r="G79" s="16"/>
      <c r="H79" s="12"/>
      <c r="I79" s="6" t="s">
        <v>111</v>
      </c>
    </row>
    <row r="80" spans="1:9" ht="13">
      <c r="A80" s="89" t="s">
        <v>11</v>
      </c>
      <c r="B80" s="34"/>
      <c r="C80" s="83">
        <f>'Virkamies 1'!$F$21*12*VLOOKUP($D$40,IF(DAYS360('poa2021'!$B$1,$F$6)&gt;0,'poa2021'!$B$62:$E$114,lisäturva),2)+'Virkamies 1'!$F$22*12*VLOOKUP($D$40,IF(DAYS360('poa2021'!$B$1,$F$6)&gt;0,'poa2021'!$B$62:$E$114,lisäturva),IF('Virkamies 1'!$F$23="LL",3,4))</f>
        <v>0</v>
      </c>
      <c r="D80" s="83">
        <f>C80*(1+0.031*((IF(DAY('Virkamies 1'!$F$8)=31,DAYS360('Virkamies 1'!$F$6,'Virkamies 1'!$F$8,TRUE)-1,DAYS360('Virkamies 1'!$F$6,'Virkamies 1'!$F$8,TRUE)))/360))</f>
        <v>0</v>
      </c>
      <c r="E80" s="91">
        <f>ROUND(D80*(VLOOKUP(MONTH('Virkamies 1'!$F$7),aika1,4))*(VLOOKUP(MONTH('Virkamies 1'!$F$7),aika1,2)),2)</f>
        <v>0</v>
      </c>
      <c r="F80" s="16"/>
      <c r="G80" s="18">
        <f>MAX(0,H80)</f>
        <v>0</v>
      </c>
      <c r="H80" s="13">
        <f>E80-F29-F30-F31-F32-F33-F34</f>
        <v>0</v>
      </c>
      <c r="I80" s="13">
        <f>MIN(E80,0)</f>
        <v>0</v>
      </c>
    </row>
    <row r="81" spans="1:11">
      <c r="A81" s="92"/>
      <c r="B81" s="34"/>
      <c r="C81" s="83"/>
      <c r="D81" s="34"/>
      <c r="E81" s="34"/>
      <c r="G81" s="13"/>
    </row>
    <row r="82" spans="1:11" ht="13">
      <c r="A82" s="89" t="s">
        <v>13</v>
      </c>
      <c r="B82" s="34"/>
      <c r="C82" s="83">
        <f>'Virkamies 1'!$F$24*12*VLOOKUP($D$40,IF(DAYS360('poa2021'!$B$1,$F$6)&gt;0,'poa2021'!$B$62:$E$114,lisäturva),2)+'Virkamies 1'!$F$25*12*VLOOKUP($D$40,IF(DAYS360('poa2021'!$B$1,$F$6)&gt;0,'poa2021'!$B$62:$E$114,lisäturva),IF('Virkamies 1'!$F$26="LL",3,4))</f>
        <v>0</v>
      </c>
      <c r="D82" s="83">
        <f>C82*(1+0.031*((IF(DAY('Virkamies 1'!$F$8)=31,DAYS360('Virkamies 1'!$F$6,'Virkamies 1'!$F$8,TRUE)-1,DAYS360('Virkamies 1'!$F$6,'Virkamies 1'!$F$8,TRUE)))/360))</f>
        <v>0</v>
      </c>
      <c r="E82" s="91">
        <f>ROUND(D82*(VLOOKUP(MONTH('Virkamies 1'!$F$7),aikaYEL1,4))*(VLOOKUP(MONTH('Virkamies 1'!$F$7),aikaYEL1,2)),2)</f>
        <v>0</v>
      </c>
      <c r="G82" s="81"/>
      <c r="K82" s="34"/>
    </row>
    <row r="83" spans="1:11">
      <c r="A83" s="34"/>
      <c r="B83" s="34"/>
      <c r="C83" s="83"/>
      <c r="D83" s="83"/>
      <c r="E83" s="34"/>
      <c r="F83" s="52"/>
      <c r="G83" s="17"/>
      <c r="K83" s="34"/>
    </row>
    <row r="84" spans="1:11" ht="13">
      <c r="A84" s="89" t="s">
        <v>70</v>
      </c>
      <c r="B84" s="34"/>
      <c r="C84" s="13">
        <f>'Virkamies 1'!$F$17*12*VLOOKUP($D$40,IF(DAYS360('poa2021'!$B$1,$F$6)&gt;0,'poa2021'!$B$5:$C$57,perusturva),2)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1'!$F$7),aika1,4))*(VLOOKUP(MONTH('Virkamies 1'!$F$7),aika1,2)),2)</f>
        <v>0</v>
      </c>
      <c r="F84" s="88"/>
      <c r="G84" s="83"/>
      <c r="H84" s="34"/>
      <c r="I84" s="32"/>
      <c r="J84" s="34"/>
    </row>
    <row r="85" spans="1:11" ht="13">
      <c r="A85" s="34"/>
      <c r="B85" s="34"/>
      <c r="C85" s="83"/>
      <c r="D85" s="83"/>
      <c r="E85" s="87"/>
      <c r="F85" s="88"/>
      <c r="G85" s="83"/>
      <c r="H85" s="34"/>
      <c r="I85" s="32"/>
      <c r="J85" s="34"/>
    </row>
    <row r="86" spans="1:11" ht="13">
      <c r="A86" s="5" t="s">
        <v>10</v>
      </c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I86" s="13"/>
    </row>
    <row r="87" spans="1:11">
      <c r="C87" s="34"/>
      <c r="E87" s="17"/>
      <c r="I87" s="13"/>
    </row>
    <row r="89" spans="1:11">
      <c r="A89" s="34"/>
      <c r="B89" s="34"/>
      <c r="C89" s="34"/>
      <c r="D89" s="34"/>
      <c r="E89" s="34"/>
      <c r="F89" s="34"/>
      <c r="G89" s="34"/>
      <c r="H89" s="34"/>
      <c r="I89" s="34"/>
    </row>
    <row r="90" spans="1:11">
      <c r="A90" s="34"/>
      <c r="B90" s="34"/>
      <c r="C90" s="34"/>
      <c r="D90" s="34"/>
      <c r="E90" s="34"/>
      <c r="F90" s="34"/>
      <c r="G90" s="34"/>
      <c r="H90" s="34"/>
      <c r="I90" s="34"/>
    </row>
    <row r="91" spans="1:11">
      <c r="A91" s="34"/>
      <c r="B91" s="34"/>
      <c r="C91" s="34"/>
      <c r="D91" s="34"/>
      <c r="E91" s="34"/>
      <c r="F91" s="34"/>
      <c r="G91" s="34"/>
      <c r="H91" s="34"/>
      <c r="I91" s="34"/>
    </row>
    <row r="95" spans="1:11">
      <c r="B95" s="27"/>
      <c r="C95" s="34"/>
      <c r="E95" s="54"/>
      <c r="F95" s="53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55" orientation="portrait" horizontalDpi="8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1:AH88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.54296875" style="6" customWidth="1"/>
    <col min="9" max="9" width="12.453125" style="6" customWidth="1"/>
    <col min="10" max="27" width="9.1796875" style="6"/>
    <col min="28" max="28" width="11.54296875" style="6" customWidth="1"/>
    <col min="29" max="29" width="10.54296875" style="6" bestFit="1" customWidth="1"/>
    <col min="30" max="30" width="13.26953125" style="6" customWidth="1"/>
    <col min="31" max="16384" width="9.1796875" style="6"/>
  </cols>
  <sheetData>
    <row r="1" spans="1:34" ht="18">
      <c r="A1" s="1" t="s">
        <v>34</v>
      </c>
      <c r="AA1" s="2"/>
      <c r="AB1" s="113" t="s">
        <v>22</v>
      </c>
      <c r="AC1" s="3" t="s">
        <v>20</v>
      </c>
      <c r="AD1" t="s">
        <v>21</v>
      </c>
      <c r="AH1" s="22" t="str">
        <f>LEFT('Virkamies 2'!F5,2)&amp;"."&amp;MID('Virkamies 2'!F5,3,2)&amp;".19"&amp;MID('Virkamies 2'!F5,5,2)</f>
        <v>..19</v>
      </c>
    </row>
    <row r="2" spans="1:34" ht="18">
      <c r="A2" s="56"/>
      <c r="B2" s="54"/>
      <c r="D2" s="55"/>
      <c r="AA2" s="2"/>
      <c r="AB2" s="2"/>
      <c r="AC2" s="2"/>
      <c r="AD2"/>
    </row>
    <row r="3" spans="1:34" ht="14">
      <c r="A3" s="5" t="s">
        <v>19</v>
      </c>
      <c r="D3" s="13"/>
      <c r="AA3" s="2">
        <v>1</v>
      </c>
      <c r="AB3" s="120">
        <f>(1+'KJ-vuosi'!B4)^((31-DAY($F$7))/360)</f>
        <v>1.001706680964418</v>
      </c>
      <c r="AC3" s="120">
        <f>+(1+'KJ-vuosi'!B4)^(1/12)</f>
        <v>1.0016515813019202</v>
      </c>
      <c r="AD3" s="120">
        <f>AC4*AD4</f>
        <v>1.0082852288053108</v>
      </c>
    </row>
    <row r="4" spans="1:34" ht="14">
      <c r="A4" s="5"/>
      <c r="B4" s="6" t="s">
        <v>30</v>
      </c>
      <c r="F4" s="37"/>
      <c r="AA4" s="2">
        <v>2</v>
      </c>
      <c r="AB4" s="120">
        <f>(1+'KJ-vuosi'!B5)^((31-DAY($F$7))/360)</f>
        <v>1.001706680964418</v>
      </c>
      <c r="AC4" s="120">
        <f>+(1+'KJ-vuosi'!B5)^(1/12)</f>
        <v>1.0016515813019202</v>
      </c>
      <c r="AD4" s="120">
        <f t="shared" ref="AD4:AD7" si="0">AC5*AD5</f>
        <v>1.006622709560113</v>
      </c>
    </row>
    <row r="5" spans="1:34" ht="14">
      <c r="B5" s="6" t="s">
        <v>5</v>
      </c>
      <c r="F5" s="102"/>
      <c r="AA5" s="2">
        <v>3</v>
      </c>
      <c r="AB5" s="120">
        <f>(1+'KJ-vuosi'!B6)^((31-DAY($F$7))/360)</f>
        <v>1.001706680964418</v>
      </c>
      <c r="AC5" s="120">
        <f>+(1+'KJ-vuosi'!B6)^(1/12)</f>
        <v>1.0016515813019202</v>
      </c>
      <c r="AD5" s="120">
        <f t="shared" si="0"/>
        <v>1.0049629315732038</v>
      </c>
    </row>
    <row r="6" spans="1:34" ht="14">
      <c r="B6" s="6" t="s">
        <v>6</v>
      </c>
      <c r="F6" s="30"/>
      <c r="AA6" s="2">
        <v>4</v>
      </c>
      <c r="AB6" s="120">
        <f>(1+'KJ-vuosi'!B7)^((31-DAY($F$7))/360)</f>
        <v>1.001706680964418</v>
      </c>
      <c r="AC6" s="120">
        <f>+(1+'KJ-vuosi'!B7)^(1/12)</f>
        <v>1.0016515813019202</v>
      </c>
      <c r="AD6" s="120">
        <f t="shared" si="0"/>
        <v>1.0033058903246372</v>
      </c>
    </row>
    <row r="7" spans="1:34" ht="14">
      <c r="B7" s="6" t="s">
        <v>0</v>
      </c>
      <c r="F7" s="31"/>
      <c r="AA7" s="2">
        <v>5</v>
      </c>
      <c r="AB7" s="120">
        <f>(1+'KJ-vuosi'!B8)^((31-DAY($F$7))/360)</f>
        <v>1.001706680964418</v>
      </c>
      <c r="AC7" s="120">
        <f>+(1+'KJ-vuosi'!B8)^(1/12)</f>
        <v>1.0016515813019202</v>
      </c>
      <c r="AD7" s="120">
        <f t="shared" si="0"/>
        <v>1.0016515813019202</v>
      </c>
    </row>
    <row r="8" spans="1:34" ht="14">
      <c r="B8" s="6" t="s">
        <v>18</v>
      </c>
      <c r="F8" s="30"/>
      <c r="AA8" s="2">
        <v>6</v>
      </c>
      <c r="AB8" s="120">
        <f>(1+'KJ-vuosi'!B9)^((31-DAY($F$7))/360)</f>
        <v>1.001706680964418</v>
      </c>
      <c r="AC8" s="120">
        <f>+(1+'KJ-vuosi'!B9)^(1/12)</f>
        <v>1.0016515813019202</v>
      </c>
      <c r="AD8" s="120">
        <v>1</v>
      </c>
    </row>
    <row r="9" spans="1:34" ht="14">
      <c r="F9" s="32"/>
      <c r="AA9" s="2">
        <v>7</v>
      </c>
      <c r="AB9" s="120">
        <f>1/((1+'KJ-vuosi'!B10)^((DAY('Virkamies 2'!$F$7))/360))</f>
        <v>1</v>
      </c>
      <c r="AC9" s="120">
        <f>+(1+'KJ-vuosi'!B10)^(-1/12)</f>
        <v>0.99835114192125218</v>
      </c>
      <c r="AD9" s="120">
        <v>1</v>
      </c>
    </row>
    <row r="10" spans="1:34" ht="14">
      <c r="A10" s="5" t="s">
        <v>7</v>
      </c>
      <c r="F10" s="32"/>
      <c r="AA10" s="2">
        <v>8</v>
      </c>
      <c r="AB10" s="120">
        <f>1/((1+'KJ-vuosi'!B11)^((DAY('Virkamies 2'!$F$7))/360))</f>
        <v>1</v>
      </c>
      <c r="AC10" s="120">
        <f>+(1+'KJ-vuosi'!B11)^(-1/12)</f>
        <v>0.99835114192125218</v>
      </c>
      <c r="AD10" s="120">
        <f>+AC9</f>
        <v>0.99835114192125218</v>
      </c>
    </row>
    <row r="11" spans="1:34" ht="14">
      <c r="A11" s="5" t="s">
        <v>17</v>
      </c>
      <c r="F11" s="32"/>
      <c r="AA11" s="2">
        <v>9</v>
      </c>
      <c r="AB11" s="120">
        <f>1/((1+'KJ-vuosi'!B12)^((DAY('Virkamies 2'!$F$7))/360))</f>
        <v>1</v>
      </c>
      <c r="AC11" s="120">
        <f>+(1+'KJ-vuosi'!B12)^(-1/12)</f>
        <v>0.99835114192125218</v>
      </c>
      <c r="AD11" s="120">
        <f>+AD10*AC10</f>
        <v>0.99670500257546824</v>
      </c>
    </row>
    <row r="12" spans="1:34" ht="14">
      <c r="B12" s="113" t="s">
        <v>120</v>
      </c>
      <c r="F12" s="29"/>
      <c r="G12" s="13"/>
      <c r="AA12" s="2">
        <v>10</v>
      </c>
      <c r="AB12" s="120">
        <f>1/((1+'KJ-vuosi'!B13)^((DAY('Virkamies 2'!$F$7))/360))</f>
        <v>1</v>
      </c>
      <c r="AC12" s="120">
        <f>+(1+'KJ-vuosi'!B13)^(-1/12)</f>
        <v>0.99835114192125218</v>
      </c>
      <c r="AD12" s="120">
        <f>+AD11*AC11</f>
        <v>0.99506157747984336</v>
      </c>
    </row>
    <row r="13" spans="1:34" ht="14">
      <c r="B13" s="6" t="s">
        <v>42</v>
      </c>
      <c r="F13" s="29"/>
      <c r="AA13" s="2">
        <v>11</v>
      </c>
      <c r="AB13" s="120">
        <f>1/((1+'KJ-vuosi'!B14)^((DAY('Virkamies 2'!$F$7))/360))</f>
        <v>1</v>
      </c>
      <c r="AC13" s="120">
        <f>+(1+'KJ-vuosi'!B14)^(-1/12)</f>
        <v>0.99835114192125218</v>
      </c>
      <c r="AD13" s="120">
        <f>+AD12*AC12</f>
        <v>0.99342086215896419</v>
      </c>
    </row>
    <row r="14" spans="1:34" ht="14">
      <c r="B14" s="6" t="s">
        <v>92</v>
      </c>
      <c r="F14" s="29"/>
      <c r="AA14" s="2">
        <v>12</v>
      </c>
      <c r="AB14" s="120">
        <f>1/((1+'KJ-vuosi'!B15)^((DAY('Virkamies 2'!$F$7))/360))</f>
        <v>1</v>
      </c>
      <c r="AC14" s="120">
        <f>+(1+'KJ-vuosi'!B15)^(-1/12)</f>
        <v>0.99835114192125218</v>
      </c>
      <c r="AD14" s="120">
        <f>+AD13*AC13</f>
        <v>0.99178285214479678</v>
      </c>
    </row>
    <row r="15" spans="1:34">
      <c r="B15" s="6" t="s">
        <v>43</v>
      </c>
      <c r="F15" s="29"/>
      <c r="H15" s="13"/>
      <c r="AB15" s="120"/>
      <c r="AC15" s="120"/>
      <c r="AD15" s="120"/>
    </row>
    <row r="16" spans="1:34">
      <c r="B16" s="6" t="s">
        <v>44</v>
      </c>
      <c r="F16" s="29"/>
    </row>
    <row r="17" spans="1:34">
      <c r="B17" s="6" t="s">
        <v>69</v>
      </c>
      <c r="F17" s="29"/>
    </row>
    <row r="18" spans="1:34">
      <c r="F18" s="13"/>
    </row>
    <row r="19" spans="1:34" ht="13">
      <c r="A19" s="5" t="s">
        <v>154</v>
      </c>
      <c r="F19" s="13"/>
    </row>
    <row r="20" spans="1:34" ht="13">
      <c r="A20" s="5" t="s">
        <v>17</v>
      </c>
      <c r="F20" s="13"/>
      <c r="AB20" t="s">
        <v>73</v>
      </c>
      <c r="AC20" t="s">
        <v>20</v>
      </c>
      <c r="AD20" t="s">
        <v>21</v>
      </c>
      <c r="AH20" s="20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AB21" t="s">
        <v>74</v>
      </c>
      <c r="AC21"/>
      <c r="AD21"/>
    </row>
    <row r="22" spans="1:34">
      <c r="B22" s="113" t="s">
        <v>150</v>
      </c>
      <c r="F22" s="29"/>
      <c r="G22" s="13"/>
      <c r="Z22" s="6" t="s">
        <v>72</v>
      </c>
      <c r="AA22">
        <v>1</v>
      </c>
      <c r="AB22" s="122">
        <f>(1+'KJ-vuosi'!$B$16)^((31-DAY($F$7))/360)</f>
        <v>1.001706680964418</v>
      </c>
      <c r="AC22" s="120">
        <f>+(1+'KJ-vuosi'!B16)^(1/12)</f>
        <v>1.0016515813019202</v>
      </c>
      <c r="AD22" s="120">
        <f>AC23*AD23</f>
        <v>1.0082852288053108</v>
      </c>
    </row>
    <row r="23" spans="1:34">
      <c r="B23" s="6" t="s">
        <v>112</v>
      </c>
      <c r="F23" s="102"/>
      <c r="AA23">
        <v>2</v>
      </c>
      <c r="AB23" s="122">
        <f>(1+'KJ-vuosi'!$B$16)^((31-DAY($F$7))/360)</f>
        <v>1.001706680964418</v>
      </c>
      <c r="AC23" s="120">
        <f>+(1+'KJ-vuosi'!B16)^(1/12)</f>
        <v>1.0016515813019202</v>
      </c>
      <c r="AD23" s="120">
        <f t="shared" ref="AD23:AD26" si="1">AC24*AD24</f>
        <v>1.006622709560113</v>
      </c>
    </row>
    <row r="24" spans="1:34">
      <c r="B24" s="113" t="s">
        <v>151</v>
      </c>
      <c r="F24" s="29"/>
      <c r="AA24">
        <v>3</v>
      </c>
      <c r="AB24" s="122">
        <f>(1+'KJ-vuosi'!$B$16)^((31-DAY($F$7))/360)</f>
        <v>1.001706680964418</v>
      </c>
      <c r="AC24" s="120">
        <f>+(1+'KJ-vuosi'!B16)^(1/12)</f>
        <v>1.0016515813019202</v>
      </c>
      <c r="AD24" s="120">
        <f t="shared" si="1"/>
        <v>1.0049629315732038</v>
      </c>
    </row>
    <row r="25" spans="1:34">
      <c r="B25" s="113" t="s">
        <v>152</v>
      </c>
      <c r="F25" s="29"/>
      <c r="AA25">
        <v>4</v>
      </c>
      <c r="AB25" s="122">
        <f>(1+'KJ-vuosi'!$B$16)^((31-DAY($F$7))/360)</f>
        <v>1.001706680964418</v>
      </c>
      <c r="AC25" s="120">
        <f>+(1+'KJ-vuosi'!B16)^(1/12)</f>
        <v>1.0016515813019202</v>
      </c>
      <c r="AD25" s="120">
        <f t="shared" si="1"/>
        <v>1.0033058903246372</v>
      </c>
    </row>
    <row r="26" spans="1:34">
      <c r="B26" s="6" t="s">
        <v>113</v>
      </c>
      <c r="F26" s="102"/>
      <c r="AA26">
        <v>5</v>
      </c>
      <c r="AB26" s="122">
        <f>(1+'KJ-vuosi'!$B$16)^((31-DAY($F$7))/360)</f>
        <v>1.001706680964418</v>
      </c>
      <c r="AC26" s="120">
        <f>+(1+'KJ-vuosi'!B16)^(1/12)</f>
        <v>1.0016515813019202</v>
      </c>
      <c r="AD26" s="120">
        <f t="shared" si="1"/>
        <v>1.0016515813019202</v>
      </c>
    </row>
    <row r="27" spans="1:34">
      <c r="AA27">
        <v>6</v>
      </c>
      <c r="AB27" s="122">
        <f>(1+'KJ-vuosi'!$B$16)^((31-DAY($F$7))/360)</f>
        <v>1.001706680964418</v>
      </c>
      <c r="AC27" s="120">
        <f>+(1+'KJ-vuosi'!B16)^(1/12)</f>
        <v>1.0016515813019202</v>
      </c>
      <c r="AD27" s="120">
        <v>1</v>
      </c>
    </row>
    <row r="28" spans="1:34" ht="13">
      <c r="A28" s="5" t="s">
        <v>153</v>
      </c>
      <c r="B28" s="5"/>
      <c r="F28" s="100">
        <f>F7</f>
        <v>0</v>
      </c>
      <c r="AA28">
        <v>7</v>
      </c>
      <c r="AB28" s="122">
        <f>1/((1+'KJ-vuosi'!$B$16)^((DAY('Virkamies 2'!$F$7))/360))</f>
        <v>1</v>
      </c>
      <c r="AC28" s="120">
        <f>+(1+'KJ-vuosi'!B16)^(-1/12)</f>
        <v>0.99835114192125218</v>
      </c>
      <c r="AD28" s="120">
        <v>1</v>
      </c>
    </row>
    <row r="29" spans="1:34" ht="13">
      <c r="B29" s="6" t="s">
        <v>103</v>
      </c>
      <c r="F29" s="101"/>
      <c r="AA29">
        <v>8</v>
      </c>
      <c r="AB29" s="122">
        <f>1/((1+'KJ-vuosi'!$B$16)^((DAY('Virkamies 2'!$F$7))/360))</f>
        <v>1</v>
      </c>
      <c r="AC29" s="120">
        <f>+(1+'KJ-vuosi'!B16)^(-1/12)</f>
        <v>0.99835114192125218</v>
      </c>
      <c r="AD29" s="120">
        <f>+AC28</f>
        <v>0.99835114192125218</v>
      </c>
    </row>
    <row r="30" spans="1:34">
      <c r="B30" s="6" t="s">
        <v>104</v>
      </c>
      <c r="F30" s="29"/>
      <c r="AA30">
        <v>9</v>
      </c>
      <c r="AB30" s="122">
        <f>1/((1+'KJ-vuosi'!$B$16)^((DAY('Virkamies 2'!$F$7))/360))</f>
        <v>1</v>
      </c>
      <c r="AC30" s="120">
        <f>+(1+'KJ-vuosi'!B16)^(-1/12)</f>
        <v>0.99835114192125218</v>
      </c>
      <c r="AD30" s="120">
        <f>+AD29*AC29</f>
        <v>0.99670500257546824</v>
      </c>
    </row>
    <row r="31" spans="1:34" ht="13">
      <c r="B31" s="6" t="s">
        <v>105</v>
      </c>
      <c r="F31" s="101"/>
      <c r="AA31">
        <v>10</v>
      </c>
      <c r="AB31" s="122">
        <f>1/((1+'KJ-vuosi'!$B$16)^((DAY('Virkamies 2'!$F$7))/360))</f>
        <v>1</v>
      </c>
      <c r="AC31" s="120">
        <f>+(1+'KJ-vuosi'!B16)^(-1/12)</f>
        <v>0.99835114192125218</v>
      </c>
      <c r="AD31" s="120">
        <f>+AD30*AC30</f>
        <v>0.99506157747984336</v>
      </c>
    </row>
    <row r="32" spans="1:34">
      <c r="B32" s="6" t="s">
        <v>106</v>
      </c>
      <c r="F32" s="29"/>
      <c r="AA32">
        <v>11</v>
      </c>
      <c r="AB32" s="122">
        <f>1/((1+'KJ-vuosi'!$B$16)^((DAY('Virkamies 2'!$F$7))/360))</f>
        <v>1</v>
      </c>
      <c r="AC32" s="120">
        <f>+(1+'KJ-vuosi'!B16)^(-1/12)</f>
        <v>0.99835114192125218</v>
      </c>
      <c r="AD32" s="120">
        <f>+AD31*AC31</f>
        <v>0.99342086215896419</v>
      </c>
    </row>
    <row r="33" spans="1:30" ht="13">
      <c r="B33" s="6" t="s">
        <v>107</v>
      </c>
      <c r="F33" s="101"/>
      <c r="AA33">
        <v>12</v>
      </c>
      <c r="AB33" s="122">
        <f>1/((1+'KJ-vuosi'!$B$16)^((DAY('Virkamies 2'!$F$7))/360))</f>
        <v>1</v>
      </c>
      <c r="AC33" s="120">
        <f>+(1+'KJ-vuosi'!B16)^(-1/12)</f>
        <v>0.99835114192125218</v>
      </c>
      <c r="AD33" s="120">
        <f>+AD32*AC32</f>
        <v>0.99178285214479678</v>
      </c>
    </row>
    <row r="34" spans="1:30">
      <c r="B34" s="6" t="s">
        <v>108</v>
      </c>
      <c r="F34" s="29"/>
      <c r="AA34"/>
      <c r="AB34"/>
      <c r="AC34"/>
    </row>
    <row r="36" spans="1:30">
      <c r="A36" s="6" t="s">
        <v>27</v>
      </c>
    </row>
    <row r="38" spans="1:30" ht="18">
      <c r="A38" s="1" t="s">
        <v>28</v>
      </c>
      <c r="I38" s="13"/>
    </row>
    <row r="39" spans="1:30">
      <c r="I39" s="13"/>
    </row>
    <row r="40" spans="1:30">
      <c r="A40" s="6" t="s">
        <v>163</v>
      </c>
      <c r="D40" s="119">
        <f>IF(F6="",18,YEAR(F6)-(1900+MID(F5,5,2)))</f>
        <v>18</v>
      </c>
      <c r="I40" s="13"/>
    </row>
    <row r="41" spans="1:30">
      <c r="A41" s="113" t="s">
        <v>125</v>
      </c>
      <c r="D41" s="33" t="str">
        <f>+"1.7."&amp;TEXT('KJ-vuosi'!$B$3,0)</f>
        <v>1.7.2021</v>
      </c>
      <c r="I41" s="13"/>
    </row>
    <row r="42" spans="1:30">
      <c r="C42" s="32"/>
      <c r="I42" s="13"/>
    </row>
    <row r="43" spans="1:30" ht="13">
      <c r="A43" s="5" t="s">
        <v>8</v>
      </c>
      <c r="I43" s="13"/>
    </row>
    <row r="44" spans="1:30">
      <c r="C44" s="7" t="s">
        <v>14</v>
      </c>
      <c r="D44" s="7" t="s">
        <v>23</v>
      </c>
      <c r="E44" s="114" t="s">
        <v>119</v>
      </c>
      <c r="I44" s="13"/>
    </row>
    <row r="45" spans="1:30">
      <c r="C45" s="7" t="s">
        <v>9</v>
      </c>
      <c r="D45" s="9" t="s">
        <v>24</v>
      </c>
      <c r="E45" s="7" t="s">
        <v>26</v>
      </c>
      <c r="I45" s="13"/>
    </row>
    <row r="46" spans="1:30">
      <c r="C46" s="8"/>
      <c r="D46" s="9" t="s">
        <v>25</v>
      </c>
      <c r="E46" s="7" t="str">
        <f>+D41&amp;")"</f>
        <v>1.7.2021)</v>
      </c>
      <c r="I46" s="13"/>
    </row>
    <row r="47" spans="1:30">
      <c r="C47" s="8"/>
      <c r="E47" s="9"/>
      <c r="I47" s="13"/>
      <c r="J47" s="32"/>
    </row>
    <row r="48" spans="1:30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2'!F$6</f>
        <v>0</v>
      </c>
      <c r="D50" s="11">
        <f>'Virkamies 2'!F$8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2'!$F$7),aika2,4))*(VLOOKUP(MONTH('Virkamies 2'!$F$7),aika2,2)),2)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2'!$F$12*12*VLOOKUP($D$40,IF(DAYS360('poa2021'!$B$1,$F$6)&gt;0,'poa2021'!$F$5:$I$57,vastuunjako),3)</f>
        <v>0</v>
      </c>
      <c r="D52" s="17">
        <f>C52*(1+0.031*((IF(DAY('Virkamies 2'!$F$8)=31,DAYS360('Virkamies 2'!$F$6,'Virkamies 2'!$F$8,TRUE)-1,DAYS360('Virkamies 2'!$F$6,'Virkamies 2'!$F$8,TRUE)))/360))</f>
        <v>0</v>
      </c>
      <c r="E52" s="25">
        <f>ROUND(D52*(VLOOKUP(MONTH('Virkamies 2'!$F$7),aika2,4))*(VLOOKUP(MONTH('Virkamies 2'!$F$7),aika2,2)),2)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2'!$F$12*12*VLOOKUP($D$40,IF(DAYS360('poa2021'!$B$1,$F$6)&gt;0,'poa2021'!$F$5:$I$57,vastuunjako),4)</f>
        <v>0</v>
      </c>
      <c r="D53" s="15">
        <f>C53*(1+0.031*((IF(DAY('Virkamies 2'!$F$8)=31,DAYS360('Virkamies 2'!$F$6,'Virkamies 2'!$F$8,TRUE)-1,DAYS360('Virkamies 2'!$F$6,'Virkamies 2'!$F$8,TRUE)))/360))</f>
        <v>0</v>
      </c>
      <c r="E53" s="26">
        <f>ROUND(D53*(VLOOKUP(MONTH('Virkamies 2'!$F$7),aika2,4))*(VLOOKUP(MONTH('Virkamies 2'!$F$7),aika2,2)),2)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2'!$F$12*12*VLOOKUP($D$40,IF(DAYS360('poa2021'!$B$1,$F$6)&gt;0,'poa2021'!$B$5:$C$57,perusturva),2)</f>
        <v>0</v>
      </c>
      <c r="D54" s="32">
        <f>C54*(1+0.031*((IF(DAY('Virkamies 2'!$F$8)=31,DAYS360('Virkamies 2'!$F$6,'Virkamies 2'!$F$8,TRUE)-1,DAYS360('Virkamies 2'!$F$6,'Virkamies 2'!$F$8,TRUE)))/360))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2'!$F$14*12*VLOOKUP($D$40,IF(DAYS360('poa2021'!B1,F6)&gt;0,'poa2021'!B5:C57,perusturva),2))*(1+0.031*((IF(DAY('Virkamies 2'!$F$8)=31,DAYS360('Virkamies 2'!$F$6,'Virkamies 2'!$F$8,TRUE)-1,DAYS360('Virkamies 2'!$F$6,'Virkamies 2'!$F$8,TRUE)))/360))*(VLOOKUP(MONTH('Virkamies 2'!$F$7),aika1,4))*(VLOOKUP(MONTH('Virkamies 2'!$F$7),aika1,2))),2)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  <c r="H57" s="13"/>
    </row>
    <row r="58" spans="1:9" ht="13">
      <c r="A58" s="5"/>
      <c r="C58" s="11">
        <f>'Virkamies 2'!F$6</f>
        <v>0</v>
      </c>
      <c r="D58" s="11">
        <f>'Virkamies 2'!F$8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2'!$F$7),aika2,4))*(VLOOKUP(MONTH('Virkamies 2'!$F$7),aika2,2)),2)</f>
        <v>0</v>
      </c>
    </row>
    <row r="60" spans="1:9">
      <c r="A60" s="10" t="s">
        <v>2</v>
      </c>
      <c r="C60" s="17">
        <f>'Virkamies 2'!$F$13*12*VLOOKUP($D$40,IF(DAYS360('poa2021'!$B$1,$F$6)&gt;0,'poa2021'!$F$5:$I$57,vastuunjako),3)</f>
        <v>0</v>
      </c>
      <c r="D60" s="83">
        <f>C60*(1+0.031*((IF(DAY('Virkamies 2'!$F$8)=31,DAYS360('Virkamies 2'!$F$6,'Virkamies 2'!$F$8,TRUE)-1,DAYS360('Virkamies 2'!$F$6,'Virkamies 2'!$F$8,TRUE)))/360))</f>
        <v>0</v>
      </c>
      <c r="E60" s="84">
        <f>ROUND(D60*(VLOOKUP(MONTH('Virkamies 2'!$F$7),aika2,4))*(VLOOKUP(MONTH('Virkamies 2'!$F$7),aika2,2)),2)</f>
        <v>0</v>
      </c>
    </row>
    <row r="61" spans="1:9">
      <c r="A61" s="14" t="s">
        <v>3</v>
      </c>
      <c r="B61" s="28"/>
      <c r="C61" s="15">
        <f>'Virkamies 2'!$F$13*12*VLOOKUP($D$40,IF(DAYS360('poa2021'!$B$1,$F$6)&gt;0,'poa2021'!$F$5:$I$57,vastuunjako),4)</f>
        <v>0</v>
      </c>
      <c r="D61" s="85">
        <f>C61*(1+0.031*((IF(DAY('Virkamies 2'!$F$8)=31,DAYS360('Virkamies 2'!$F$6,'Virkamies 2'!$F$8,TRUE)-1,DAYS360('Virkamies 2'!$F$6,'Virkamies 2'!$F$8,TRUE)))/360))</f>
        <v>0</v>
      </c>
      <c r="E61" s="86">
        <f>ROUND(D61*(VLOOKUP(MONTH('Virkamies 2'!$F$7),aika2,4))*(VLOOKUP(MONTH('Virkamies 2'!$F$7),aika2,2)),2)</f>
        <v>0</v>
      </c>
    </row>
    <row r="62" spans="1:9">
      <c r="A62" s="6" t="s">
        <v>10</v>
      </c>
      <c r="C62" s="32">
        <f>'Virkamies 2'!$F$13*12*VLOOKUP($D$40,IF(DAYS360('poa2021'!$B$1,$F$6)&gt;0,'poa2021'!$B$5:$C$57,perusturva),2)</f>
        <v>0</v>
      </c>
      <c r="D62" s="13">
        <f>C62*(1+0.031*((IF(DAY('Virkamies 2'!$F$8)=31,DAYS360('Virkamies 2'!$F$6,'Virkamies 2'!$F$8,TRUE)-1,DAYS360('Virkamies 2'!$F$6,'Virkamies 2'!$F$8,TRUE)))/360))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9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9" ht="13">
      <c r="A66" s="5"/>
      <c r="C66" s="11">
        <f>'Virkamies 2'!F$6</f>
        <v>0</v>
      </c>
      <c r="D66" s="11">
        <f>'Virkamies 2'!F$8</f>
        <v>0</v>
      </c>
      <c r="E66" s="21" t="str">
        <f>$D$41</f>
        <v>1.7.2021</v>
      </c>
      <c r="G66" s="7" t="s">
        <v>62</v>
      </c>
    </row>
    <row r="67" spans="1:9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2'!$F$7),aikaYEL2,4))*(VLOOKUP(MONTH('Virkamies 2'!$F$7),aikaYEL2,2)),2)</f>
        <v>0</v>
      </c>
      <c r="G67" s="7" t="s">
        <v>63</v>
      </c>
    </row>
    <row r="68" spans="1:9">
      <c r="A68" s="10" t="s">
        <v>2</v>
      </c>
      <c r="C68" s="17">
        <f>'Virkamies 2'!$F$15*12*VLOOKUP($D$40,IF(DAYS360('poa2021'!$B$1,$F$6)&gt;0,'poa2021'!$F$5:$I$57,vastuunjako),3)</f>
        <v>0</v>
      </c>
      <c r="D68" s="17">
        <f>C68*(1+0.031*((IF(DAY('Virkamies 2'!$F$8)=31,DAYS360('Virkamies 2'!$F$6,'Virkamies 2'!$F$8,TRUE)-1,DAYS360('Virkamies 2'!$F$6,'Virkamies 2'!$F$8,TRUE)))/360))</f>
        <v>0</v>
      </c>
      <c r="E68" s="84">
        <f>ROUND(D68*(VLOOKUP(MONTH('Virkamies 2'!$F$7),aikaYEL2,4))*(VLOOKUP(MONTH('Virkamies 2'!$F$7),aikaYEL2,2)),2)</f>
        <v>0</v>
      </c>
      <c r="G68" s="13">
        <f>E68</f>
        <v>0</v>
      </c>
    </row>
    <row r="69" spans="1:9">
      <c r="A69" s="14" t="s">
        <v>3</v>
      </c>
      <c r="B69" s="28"/>
      <c r="C69" s="15">
        <f>'Virkamies 2'!$F$15*12*VLOOKUP($D$40,IF(DAYS360('poa2021'!$B$1,$F$6)&gt;0,'poa2021'!$F$5:$I$57,vastuunjako),4)</f>
        <v>0</v>
      </c>
      <c r="D69" s="15">
        <f>C69*(1+0.031*((IF(DAY('Virkamies 2'!$F$8)=31,DAYS360('Virkamies 2'!$F$6,'Virkamies 2'!$F$8,TRUE)-1,DAYS360('Virkamies 2'!$F$6,'Virkamies 2'!$F$8,TRUE)))/360))</f>
        <v>0</v>
      </c>
      <c r="E69" s="86">
        <f>ROUND(D69*(VLOOKUP(MONTH('Virkamies 2'!$F$7),aikaYEL2,4))*(VLOOKUP(MONTH('Virkamies 2'!$F$7),aikaYEL2,2)),2)</f>
        <v>0</v>
      </c>
      <c r="G69" s="15">
        <f>E69</f>
        <v>0</v>
      </c>
    </row>
    <row r="70" spans="1:9" ht="13">
      <c r="A70" s="6" t="s">
        <v>10</v>
      </c>
      <c r="C70" s="32">
        <f>'Virkamies 2'!$F$15*12*VLOOKUP($D$40,IF(DAYS360('poa2021'!$B$1,$F$6)&gt;0,'poa2021'!$B$5:$C$57,perusturva),2)</f>
        <v>0</v>
      </c>
      <c r="D70" s="83">
        <f>C70*(1+0.031*((IF(DAY('Virkamies 2'!$F$8)=31,DAYS360('Virkamies 2'!$F$6,'Virkamies 2'!$F$8,TRUE)-1,DAYS360('Virkamies 2'!$F$6,'Virkamies 2'!$F$8,TRUE)))/360))</f>
        <v>0</v>
      </c>
      <c r="E70" s="83">
        <f>SUM(E67:E69)</f>
        <v>0</v>
      </c>
      <c r="F70" s="52"/>
      <c r="G70" s="44">
        <f>SUM(G68:G69)</f>
        <v>0</v>
      </c>
    </row>
    <row r="71" spans="1:9">
      <c r="C71" s="10"/>
      <c r="G71" s="16"/>
    </row>
    <row r="72" spans="1:9" ht="13">
      <c r="A72" s="5" t="s">
        <v>4</v>
      </c>
      <c r="C72" s="13"/>
      <c r="G72" s="16"/>
    </row>
    <row r="73" spans="1:9" ht="13">
      <c r="A73" s="5"/>
      <c r="C73" s="7" t="s">
        <v>15</v>
      </c>
      <c r="D73" s="7" t="s">
        <v>15</v>
      </c>
      <c r="E73" s="7" t="s">
        <v>15</v>
      </c>
      <c r="G73" s="16"/>
    </row>
    <row r="74" spans="1:9" ht="13">
      <c r="A74" s="5"/>
      <c r="C74" s="11">
        <f>'Virkamies 2'!F$6</f>
        <v>0</v>
      </c>
      <c r="D74" s="11">
        <f>'Virkamies 2'!F$8</f>
        <v>0</v>
      </c>
      <c r="E74" s="21" t="str">
        <f>$D$41</f>
        <v>1.7.2021</v>
      </c>
      <c r="G74" s="16"/>
    </row>
    <row r="75" spans="1:9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2'!$F$7),aika2,4))*(VLOOKUP(MONTH('Virkamies 2'!$F$7),aika2,2)),2)</f>
        <v>0</v>
      </c>
      <c r="G75" s="16"/>
    </row>
    <row r="76" spans="1:9" ht="13">
      <c r="A76" s="10" t="s">
        <v>2</v>
      </c>
      <c r="C76" s="17">
        <f>'Virkamies 2'!$F$16*12*VLOOKUP($D$40,IF(DAYS360('poa2021'!$B$1,$F$6)&gt;0,'poa2021'!$F$5:$I$57,vastuunjako),3)</f>
        <v>0</v>
      </c>
      <c r="D76" s="17">
        <f>C76*(1+0.031*((IF(DAY('Virkamies 2'!$F$8)=31,DAYS360('Virkamies 2'!$F$6,'Virkamies 2'!$F$8,TRUE)-1,DAYS360('Virkamies 2'!$F$6,'Virkamies 2'!$F$8,TRUE)))/360))</f>
        <v>0</v>
      </c>
      <c r="E76" s="24">
        <f>ROUND(D76*(VLOOKUP(MONTH('Virkamies 2'!$F$7),aika2,4))*(VLOOKUP(MONTH('Virkamies 2'!$F$7),aika2,2)),2)</f>
        <v>0</v>
      </c>
      <c r="G76" s="16"/>
    </row>
    <row r="77" spans="1:9" ht="13">
      <c r="A77" s="14" t="s">
        <v>3</v>
      </c>
      <c r="B77" s="28"/>
      <c r="C77" s="15">
        <f>'Virkamies 2'!$F$16*12*VLOOKUP($D$40,IF(DAYS360('poa2021'!$B$1,$F$6)&gt;0,'poa2021'!$F$5:$I$57,vastuunjako),4)</f>
        <v>0</v>
      </c>
      <c r="D77" s="15">
        <f>C77*(1+0.031*((IF(DAY('Virkamies 2'!$F$8)=31,DAYS360('Virkamies 2'!$F$6,'Virkamies 2'!$F$8,TRUE)-1,DAYS360('Virkamies 2'!$F$6,'Virkamies 2'!$F$8,TRUE)))/360))</f>
        <v>0</v>
      </c>
      <c r="E77" s="90">
        <f>ROUND(D77*(VLOOKUP(MONTH('Virkamies 2'!$F$7),aika2,4))*(VLOOKUP(MONTH('Virkamies 2'!$F$7),aika2,2)),2)</f>
        <v>0</v>
      </c>
      <c r="G77" s="16"/>
    </row>
    <row r="78" spans="1:9">
      <c r="A78" s="6" t="s">
        <v>10</v>
      </c>
      <c r="C78" s="32">
        <f>'Virkamies 2'!$F$16*12*VLOOKUP($D$40,IF(DAYS360('poa2021'!$B$1,$F$6)&gt;0,'poa2021'!$B$5:$C$57,perusturva),2)</f>
        <v>0</v>
      </c>
      <c r="D78" s="17">
        <f>C78*(1+0.031*((IF(DAY('Virkamies 2'!$F$8)=31,DAYS360('Virkamies 2'!$F$6,'Virkamies 2'!$F$8,TRUE)-1,DAYS360('Virkamies 2'!$F$6,'Virkamies 2'!$F$8,TRUE)))/360))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9">
      <c r="A79" s="34"/>
      <c r="B79" s="34"/>
      <c r="C79" s="17"/>
      <c r="D79" s="83"/>
      <c r="E79" s="83"/>
      <c r="G79" s="16"/>
      <c r="H79" s="12"/>
      <c r="I79" s="6" t="s">
        <v>111</v>
      </c>
    </row>
    <row r="80" spans="1:9" ht="13">
      <c r="A80" s="89" t="s">
        <v>11</v>
      </c>
      <c r="B80" s="34"/>
      <c r="C80" s="83">
        <f>'Virkamies 2'!$F$21*12*VLOOKUP($D$40,IF(DAYS360('poa2021'!$B$1,$F$6)&gt;0,'poa2021'!$B$62:$E$114,lisäturva),2)+'Virkamies 2'!$F$22*12*VLOOKUP($D$40,IF(DAYS360('poa2021'!$B$1,$F$6)&gt;0,'poa2021'!$B$62:$E$114,lisäturva),IF('Virkamies 2'!$F$23="LL",3,4))</f>
        <v>0</v>
      </c>
      <c r="D80" s="83">
        <f>C80*(1+0.031*((IF(DAY('Virkamies 2'!$F$8)=31,DAYS360('Virkamies 2'!$F$6,'Virkamies 2'!$F$8,TRUE)-1,DAYS360('Virkamies 2'!$F$6,'Virkamies 2'!$F$8,TRUE)))/360))</f>
        <v>0</v>
      </c>
      <c r="E80" s="91">
        <f>ROUND(D80*(VLOOKUP(MONTH('Virkamies 2'!$F$7),aika2,4))*(VLOOKUP(MONTH('Virkamies 2'!$F$7),aika2,2)),2)</f>
        <v>0</v>
      </c>
      <c r="F80" s="16"/>
      <c r="G80" s="18">
        <f>MAX(0,H80)</f>
        <v>0</v>
      </c>
      <c r="H80" s="13">
        <f>E80-F29-F30-F31-F32-F33-F34</f>
        <v>0</v>
      </c>
      <c r="I80" s="13">
        <f>MIN(E80,0)</f>
        <v>0</v>
      </c>
    </row>
    <row r="81" spans="1:12">
      <c r="A81" s="92"/>
      <c r="B81" s="34"/>
      <c r="C81" s="83"/>
      <c r="D81" s="34"/>
      <c r="E81" s="34"/>
      <c r="G81" s="13"/>
    </row>
    <row r="82" spans="1:12" ht="13">
      <c r="A82" s="89" t="s">
        <v>13</v>
      </c>
      <c r="B82" s="34"/>
      <c r="C82" s="83">
        <f>'Virkamies 2'!$F$24*12*VLOOKUP($D$40,IF(DAYS360('poa2021'!$B$1,$F$6)&gt;0,'poa2021'!$B$62:$E$114,lisäturva),2)+'Virkamies 2'!$F$25*12*VLOOKUP($D$40,IF(DAYS360('poa2021'!$B$1,$F$6)&gt;0,'poa2021'!$B$62:$E$114,lisäturva),IF('Virkamies 2'!$F$26="LL",3,4))</f>
        <v>0</v>
      </c>
      <c r="D82" s="83">
        <f>C82*(1+0.031*((IF(DAY('Virkamies 2'!$F$8)=31,DAYS360('Virkamies 2'!$F$6,'Virkamies 2'!$F$8,TRUE)-1,DAYS360('Virkamies 2'!$F$6,'Virkamies 2'!$F$8,TRUE)))/360))</f>
        <v>0</v>
      </c>
      <c r="E82" s="91">
        <f>ROUND(D82*(VLOOKUP(MONTH('Virkamies 2'!$F$7),aikaYEL2,4))*(VLOOKUP(MONTH('Virkamies 2'!$F$7),aikaYEL2,2)),2)</f>
        <v>0</v>
      </c>
      <c r="G82" s="81"/>
    </row>
    <row r="83" spans="1:12" ht="13">
      <c r="A83" s="34"/>
      <c r="B83" s="34"/>
      <c r="C83" s="83"/>
      <c r="D83" s="83"/>
      <c r="E83" s="87"/>
      <c r="F83" s="88"/>
      <c r="G83" s="83"/>
      <c r="H83" s="34"/>
      <c r="I83" s="32"/>
      <c r="L83" s="34"/>
    </row>
    <row r="84" spans="1:12" ht="13">
      <c r="A84" s="89" t="s">
        <v>70</v>
      </c>
      <c r="B84" s="34"/>
      <c r="C84" s="13">
        <f>'Virkamies 2'!$F$17*12*VLOOKUP($D$40,IF(DAYS360('poa2021'!$B$1,$F$6)&gt;0,'poa2021'!$B$5:$C$57,perusturva),2)</f>
        <v>0</v>
      </c>
      <c r="D84" s="83">
        <f>ROUND(+C84*(1+0.031*((DAYS360($F$6,$F$8))/360)),2)</f>
        <v>0</v>
      </c>
      <c r="E84" s="24">
        <f>ROUND(D84*(VLOOKUP(MONTH('Virkamies 2'!$F$7),aika2,4))*(VLOOKUP(MONTH('Virkamies 2'!$F$7),aika2,2)),2)</f>
        <v>0</v>
      </c>
      <c r="F84" s="88"/>
      <c r="G84" s="83"/>
      <c r="H84" s="34"/>
      <c r="I84" s="32"/>
      <c r="L84" s="34"/>
    </row>
    <row r="85" spans="1:12" ht="13">
      <c r="C85" s="13"/>
      <c r="D85" s="83"/>
      <c r="E85" s="17"/>
      <c r="F85" s="17"/>
      <c r="G85" s="19"/>
    </row>
    <row r="86" spans="1:12" ht="13">
      <c r="A86" s="5" t="s">
        <v>10</v>
      </c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35"/>
    </row>
    <row r="87" spans="1:12">
      <c r="A87" s="34"/>
      <c r="B87" s="34"/>
      <c r="C87" s="34"/>
      <c r="D87" s="34"/>
      <c r="E87" s="34"/>
      <c r="F87" s="34"/>
      <c r="G87" s="17"/>
      <c r="I87" s="13"/>
      <c r="J87" s="112"/>
    </row>
    <row r="88" spans="1:12">
      <c r="A88" s="34"/>
      <c r="B88" s="34"/>
      <c r="C88" s="34"/>
      <c r="D88" s="34"/>
      <c r="E88" s="34"/>
      <c r="F88" s="34"/>
      <c r="G88" s="34"/>
      <c r="H88" s="34"/>
      <c r="I88" s="34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A1:AH90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9" style="6" customWidth="1"/>
    <col min="9" max="9" width="11.54296875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AA1" s="2"/>
      <c r="AB1" s="2" t="s">
        <v>22</v>
      </c>
      <c r="AC1" s="3" t="s">
        <v>20</v>
      </c>
      <c r="AD1" t="s">
        <v>21</v>
      </c>
      <c r="AH1" s="20" t="str">
        <f>LEFT('Virkamies 3'!F5,2)&amp;"."&amp;MID('Virkamies 3'!F5,3,2)&amp;".19"&amp;MID('Virkamies 3'!F5,5,2)</f>
        <v>..19</v>
      </c>
    </row>
    <row r="2" spans="1:34" ht="18">
      <c r="A2" s="56"/>
      <c r="B2" s="54"/>
      <c r="D2" s="55"/>
      <c r="AA2" s="2"/>
      <c r="AB2" s="2"/>
      <c r="AC2" s="2"/>
      <c r="AD2"/>
    </row>
    <row r="3" spans="1:34" ht="14">
      <c r="A3" s="5" t="s">
        <v>19</v>
      </c>
      <c r="D3" s="13"/>
      <c r="AA3" s="2">
        <v>1</v>
      </c>
      <c r="AB3" s="23">
        <f>(1+'KJ-vuosi'!B4)^((31-DAY('Virkamies 3'!$F$7))/360)</f>
        <v>1.001706680964418</v>
      </c>
      <c r="AC3" s="2">
        <f>+(1+'KJ-vuosi'!B4)^(1/12)</f>
        <v>1.0016515813019202</v>
      </c>
      <c r="AD3">
        <f>AC4*AD4</f>
        <v>1.0082852288053108</v>
      </c>
    </row>
    <row r="4" spans="1:34" ht="14">
      <c r="A4" s="5"/>
      <c r="B4" s="6" t="s">
        <v>30</v>
      </c>
      <c r="F4" s="37"/>
      <c r="AA4" s="2">
        <v>2</v>
      </c>
      <c r="AB4" s="23">
        <f>(1+'KJ-vuosi'!B5)^((31-DAY('Virkamies 3'!$F$7))/360)</f>
        <v>1.001706680964418</v>
      </c>
      <c r="AC4" s="2">
        <f>+(1+'KJ-vuosi'!B5)^(1/12)</f>
        <v>1.0016515813019202</v>
      </c>
      <c r="AD4">
        <f t="shared" ref="AD4:AD7" si="0">AC5*AD5</f>
        <v>1.006622709560113</v>
      </c>
    </row>
    <row r="5" spans="1:34" ht="14">
      <c r="B5" s="6" t="s">
        <v>5</v>
      </c>
      <c r="F5" s="102"/>
      <c r="AA5" s="2">
        <v>3</v>
      </c>
      <c r="AB5" s="23">
        <f>(1+'KJ-vuosi'!B6)^((31-DAY('Virkamies 3'!$F$7))/360)</f>
        <v>1.001706680964418</v>
      </c>
      <c r="AC5" s="2">
        <f>+(1+'KJ-vuosi'!B6)^(1/12)</f>
        <v>1.0016515813019202</v>
      </c>
      <c r="AD5">
        <f t="shared" si="0"/>
        <v>1.0049629315732038</v>
      </c>
    </row>
    <row r="6" spans="1:34" ht="14">
      <c r="B6" s="6" t="s">
        <v>6</v>
      </c>
      <c r="F6" s="30"/>
      <c r="AA6" s="2">
        <v>4</v>
      </c>
      <c r="AB6" s="23">
        <f>(1+'KJ-vuosi'!B7)^((31-DAY('Virkamies 3'!$F$7))/360)</f>
        <v>1.001706680964418</v>
      </c>
      <c r="AC6" s="2">
        <f>+(1+'KJ-vuosi'!B7)^(1/12)</f>
        <v>1.0016515813019202</v>
      </c>
      <c r="AD6">
        <f t="shared" si="0"/>
        <v>1.0033058903246372</v>
      </c>
    </row>
    <row r="7" spans="1:34" ht="14">
      <c r="B7" s="6" t="s">
        <v>0</v>
      </c>
      <c r="F7" s="31"/>
      <c r="AA7" s="2">
        <v>5</v>
      </c>
      <c r="AB7" s="23">
        <f>(1+'KJ-vuosi'!B8)^((31-DAY('Virkamies 3'!$F$7))/360)</f>
        <v>1.001706680964418</v>
      </c>
      <c r="AC7" s="2">
        <f>+(1+'KJ-vuosi'!B8)^(1/12)</f>
        <v>1.0016515813019202</v>
      </c>
      <c r="AD7">
        <f t="shared" si="0"/>
        <v>1.0016515813019202</v>
      </c>
    </row>
    <row r="8" spans="1:34" ht="14">
      <c r="B8" s="6" t="s">
        <v>18</v>
      </c>
      <c r="F8" s="30"/>
      <c r="AA8" s="2">
        <v>6</v>
      </c>
      <c r="AB8" s="23">
        <f>(1+'KJ-vuosi'!B9)^((31-DAY('Virkamies 3'!$F$7))/360)</f>
        <v>1.001706680964418</v>
      </c>
      <c r="AC8" s="2">
        <f>+(1+'KJ-vuosi'!B9)^(1/12)</f>
        <v>1.0016515813019202</v>
      </c>
      <c r="AD8">
        <v>1</v>
      </c>
    </row>
    <row r="9" spans="1:34" ht="14">
      <c r="F9" s="32"/>
      <c r="AA9" s="2">
        <v>7</v>
      </c>
      <c r="AB9" s="23">
        <f>1/((1+'KJ-vuosi'!B10)^((DAY('Virkamies 3'!$F$7))/360))</f>
        <v>1</v>
      </c>
      <c r="AC9" s="2">
        <f>+(1+'KJ-vuosi'!B10)^(-1/12)</f>
        <v>0.99835114192125218</v>
      </c>
      <c r="AD9">
        <v>1</v>
      </c>
    </row>
    <row r="10" spans="1:34" ht="14">
      <c r="A10" s="5" t="s">
        <v>7</v>
      </c>
      <c r="F10" s="32"/>
      <c r="AA10" s="2">
        <v>8</v>
      </c>
      <c r="AB10" s="23">
        <f>1/((1+'KJ-vuosi'!B11)^((DAY('Virkamies 3'!$F$7))/360))</f>
        <v>1</v>
      </c>
      <c r="AC10" s="2">
        <f>+(1+'KJ-vuosi'!B11)^(-1/12)</f>
        <v>0.99835114192125218</v>
      </c>
      <c r="AD10">
        <f>+AC9</f>
        <v>0.99835114192125218</v>
      </c>
    </row>
    <row r="11" spans="1:34" ht="14">
      <c r="A11" s="5" t="s">
        <v>17</v>
      </c>
      <c r="F11" s="32"/>
      <c r="AA11" s="2">
        <v>9</v>
      </c>
      <c r="AB11" s="23">
        <f>1/((1+'KJ-vuosi'!B12)^((DAY('Virkamies 3'!$F$7))/360))</f>
        <v>1</v>
      </c>
      <c r="AC11" s="2">
        <f>+(1+'KJ-vuosi'!B12)^(-1/12)</f>
        <v>0.99835114192125218</v>
      </c>
      <c r="AD11">
        <f>+AD10*AC10</f>
        <v>0.99670500257546824</v>
      </c>
    </row>
    <row r="12" spans="1:34" ht="14">
      <c r="B12" s="113" t="s">
        <v>120</v>
      </c>
      <c r="F12" s="29"/>
      <c r="G12" s="13"/>
      <c r="AA12" s="2">
        <v>10</v>
      </c>
      <c r="AB12" s="23">
        <f>1/((1+'KJ-vuosi'!B13)^((DAY('Virkamies 3'!$F$7))/360))</f>
        <v>1</v>
      </c>
      <c r="AC12" s="2">
        <f>+(1+'KJ-vuosi'!B13)^(-1/12)</f>
        <v>0.99835114192125218</v>
      </c>
      <c r="AD12">
        <f>+AD11*AC11</f>
        <v>0.99506157747984336</v>
      </c>
    </row>
    <row r="13" spans="1:34" ht="14">
      <c r="B13" s="6" t="s">
        <v>42</v>
      </c>
      <c r="F13" s="29"/>
      <c r="AA13" s="2">
        <v>11</v>
      </c>
      <c r="AB13" s="23">
        <f>1/((1+'KJ-vuosi'!B14)^((DAY('Virkamies 3'!$F$7))/360))</f>
        <v>1</v>
      </c>
      <c r="AC13" s="2">
        <f>+(1+'KJ-vuosi'!B14)^(-1/12)</f>
        <v>0.99835114192125218</v>
      </c>
      <c r="AD13">
        <f>+AD12*AC12</f>
        <v>0.99342086215896419</v>
      </c>
    </row>
    <row r="14" spans="1:34" ht="14">
      <c r="B14" s="6" t="s">
        <v>92</v>
      </c>
      <c r="F14" s="29"/>
      <c r="AA14" s="2">
        <v>12</v>
      </c>
      <c r="AB14" s="23">
        <f>1/((1+'KJ-vuosi'!B15)^((DAY('Virkamies 3'!$F$7))/360))</f>
        <v>1</v>
      </c>
      <c r="AC14" s="2">
        <f>+(1+'KJ-vuosi'!B15)^(-1/12)</f>
        <v>0.99835114192125218</v>
      </c>
      <c r="AD14">
        <f>+AD13*AC13</f>
        <v>0.99178285214479678</v>
      </c>
    </row>
    <row r="15" spans="1:34">
      <c r="B15" s="6" t="s">
        <v>43</v>
      </c>
      <c r="F15" s="29"/>
    </row>
    <row r="16" spans="1:34">
      <c r="B16" s="6" t="s">
        <v>44</v>
      </c>
      <c r="F16" s="29"/>
    </row>
    <row r="17" spans="1:34">
      <c r="B17" s="6" t="s">
        <v>69</v>
      </c>
      <c r="F17" s="29"/>
    </row>
    <row r="18" spans="1:34">
      <c r="F18" s="13"/>
    </row>
    <row r="19" spans="1:34" ht="13">
      <c r="A19" s="5" t="s">
        <v>154</v>
      </c>
      <c r="F19" s="13"/>
    </row>
    <row r="20" spans="1:34" ht="13">
      <c r="A20" s="5" t="s">
        <v>17</v>
      </c>
      <c r="F20" s="13"/>
      <c r="AB20" t="s">
        <v>73</v>
      </c>
      <c r="AC20" t="s">
        <v>20</v>
      </c>
      <c r="AD20" t="s">
        <v>21</v>
      </c>
      <c r="AH20" s="20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AB21" t="s">
        <v>74</v>
      </c>
      <c r="AC21"/>
      <c r="AD21"/>
    </row>
    <row r="22" spans="1:34" ht="14">
      <c r="B22" s="113" t="s">
        <v>150</v>
      </c>
      <c r="F22" s="29"/>
      <c r="G22" s="13"/>
      <c r="Z22" s="6" t="s">
        <v>72</v>
      </c>
      <c r="AA22" s="2">
        <v>1</v>
      </c>
      <c r="AB22" s="122">
        <f>(1+'KJ-vuosi'!$B$16)^((31-DAY($F$7))/360)</f>
        <v>1.001706680964418</v>
      </c>
      <c r="AC22" s="2">
        <f>+(1+'KJ-vuosi'!B16)^(1/12)</f>
        <v>1.0016515813019202</v>
      </c>
      <c r="AD22">
        <f>AC23*AD23</f>
        <v>1.0082852288053108</v>
      </c>
    </row>
    <row r="23" spans="1:34" ht="14">
      <c r="B23" s="6" t="s">
        <v>112</v>
      </c>
      <c r="F23" s="102"/>
      <c r="AA23" s="2">
        <v>2</v>
      </c>
      <c r="AB23" s="122">
        <f>(1+'KJ-vuosi'!$B$16)^((31-DAY($F$7))/360)</f>
        <v>1.001706680964418</v>
      </c>
      <c r="AC23" s="2">
        <f>+(1+'KJ-vuosi'!B16)^(1/12)</f>
        <v>1.0016515813019202</v>
      </c>
      <c r="AD23">
        <f t="shared" ref="AD23:AD26" si="1">AC24*AD24</f>
        <v>1.006622709560113</v>
      </c>
    </row>
    <row r="24" spans="1:34" ht="14">
      <c r="B24" s="113" t="s">
        <v>151</v>
      </c>
      <c r="F24" s="29"/>
      <c r="AA24" s="2">
        <v>3</v>
      </c>
      <c r="AB24" s="122">
        <f>(1+'KJ-vuosi'!$B$16)^((31-DAY($F$7))/360)</f>
        <v>1.001706680964418</v>
      </c>
      <c r="AC24" s="2">
        <f>+(1+'KJ-vuosi'!B16)^(1/12)</f>
        <v>1.0016515813019202</v>
      </c>
      <c r="AD24">
        <f t="shared" si="1"/>
        <v>1.0049629315732038</v>
      </c>
    </row>
    <row r="25" spans="1:34" ht="14">
      <c r="B25" s="113" t="s">
        <v>152</v>
      </c>
      <c r="F25" s="29"/>
      <c r="AA25" s="2">
        <v>4</v>
      </c>
      <c r="AB25" s="122">
        <f>(1+'KJ-vuosi'!$B$16)^((31-DAY($F$7))/360)</f>
        <v>1.001706680964418</v>
      </c>
      <c r="AC25" s="2">
        <f>+(1+'KJ-vuosi'!B16)^(1/12)</f>
        <v>1.0016515813019202</v>
      </c>
      <c r="AD25">
        <f t="shared" si="1"/>
        <v>1.0033058903246372</v>
      </c>
    </row>
    <row r="26" spans="1:34" ht="14">
      <c r="B26" s="6" t="s">
        <v>113</v>
      </c>
      <c r="F26" s="102"/>
      <c r="AA26" s="2">
        <v>5</v>
      </c>
      <c r="AB26" s="122">
        <f>(1+'KJ-vuosi'!$B$16)^((31-DAY($F$7))/360)</f>
        <v>1.001706680964418</v>
      </c>
      <c r="AC26" s="2">
        <f>+(1+'KJ-vuosi'!B16)^(1/12)</f>
        <v>1.0016515813019202</v>
      </c>
      <c r="AD26">
        <f t="shared" si="1"/>
        <v>1.0016515813019202</v>
      </c>
    </row>
    <row r="27" spans="1:34" ht="14">
      <c r="AA27" s="2">
        <v>6</v>
      </c>
      <c r="AB27" s="122">
        <f>(1+'KJ-vuosi'!$B$16)^((31-DAY($F$7))/360)</f>
        <v>1.001706680964418</v>
      </c>
      <c r="AC27" s="2">
        <f>+(1+'KJ-vuosi'!B16)^(1/12)</f>
        <v>1.0016515813019202</v>
      </c>
      <c r="AD27">
        <v>1</v>
      </c>
    </row>
    <row r="28" spans="1:34" ht="14">
      <c r="A28" s="5" t="s">
        <v>153</v>
      </c>
      <c r="B28" s="5"/>
      <c r="F28" s="100">
        <f>F7</f>
        <v>0</v>
      </c>
      <c r="AA28" s="2">
        <v>7</v>
      </c>
      <c r="AB28" s="122">
        <f>1/((1+'KJ-vuosi'!$B$16)^((DAY('Virkamies 3'!$F$7))/360))</f>
        <v>1</v>
      </c>
      <c r="AC28" s="2">
        <f>+(1+'KJ-vuosi'!B16)^(-1/12)</f>
        <v>0.99835114192125218</v>
      </c>
      <c r="AD28">
        <v>1</v>
      </c>
    </row>
    <row r="29" spans="1:34" ht="14">
      <c r="B29" s="6" t="s">
        <v>103</v>
      </c>
      <c r="F29" s="101"/>
      <c r="AA29" s="2">
        <v>8</v>
      </c>
      <c r="AB29" s="122">
        <f>1/((1+'KJ-vuosi'!$B$16)^((DAY('Virkamies 3'!$F$7))/360))</f>
        <v>1</v>
      </c>
      <c r="AC29" s="2">
        <f>+(1+'KJ-vuosi'!B16)^(-1/12)</f>
        <v>0.99835114192125218</v>
      </c>
      <c r="AD29">
        <f>+AC28</f>
        <v>0.99835114192125218</v>
      </c>
    </row>
    <row r="30" spans="1:34" ht="14">
      <c r="B30" s="6" t="s">
        <v>104</v>
      </c>
      <c r="F30" s="29"/>
      <c r="AA30" s="2">
        <v>9</v>
      </c>
      <c r="AB30" s="122">
        <f>1/((1+'KJ-vuosi'!$B$16)^((DAY('Virkamies 3'!$F$7))/360))</f>
        <v>1</v>
      </c>
      <c r="AC30" s="2">
        <f>+(1+'KJ-vuosi'!B16)^(-1/12)</f>
        <v>0.99835114192125218</v>
      </c>
      <c r="AD30">
        <f>+AD29*AC29</f>
        <v>0.99670500257546824</v>
      </c>
    </row>
    <row r="31" spans="1:34" ht="14">
      <c r="B31" s="6" t="s">
        <v>105</v>
      </c>
      <c r="F31" s="101"/>
      <c r="AA31" s="2">
        <v>10</v>
      </c>
      <c r="AB31" s="122">
        <f>1/((1+'KJ-vuosi'!$B$16)^((DAY('Virkamies 3'!$F$7))/360))</f>
        <v>1</v>
      </c>
      <c r="AC31" s="2">
        <f>+(1+'KJ-vuosi'!B16)^(-1/12)</f>
        <v>0.99835114192125218</v>
      </c>
      <c r="AD31">
        <f>+AD30*AC30</f>
        <v>0.99506157747984336</v>
      </c>
    </row>
    <row r="32" spans="1:34" ht="14">
      <c r="B32" s="6" t="s">
        <v>106</v>
      </c>
      <c r="F32" s="29"/>
      <c r="AA32" s="2">
        <v>11</v>
      </c>
      <c r="AB32" s="122">
        <f>1/((1+'KJ-vuosi'!$B$16)^((DAY('Virkamies 3'!$F$7))/360))</f>
        <v>1</v>
      </c>
      <c r="AC32" s="2">
        <f>+(1+'KJ-vuosi'!B16)^(-1/12)</f>
        <v>0.99835114192125218</v>
      </c>
      <c r="AD32">
        <f>+AD31*AC31</f>
        <v>0.99342086215896419</v>
      </c>
    </row>
    <row r="33" spans="1:30" ht="14">
      <c r="B33" s="6" t="s">
        <v>107</v>
      </c>
      <c r="F33" s="101"/>
      <c r="AA33" s="2">
        <v>12</v>
      </c>
      <c r="AB33" s="122">
        <f>1/((1+'KJ-vuosi'!$B$16)^((DAY('Virkamies 3'!$F$7))/360))</f>
        <v>1</v>
      </c>
      <c r="AC33" s="2">
        <f>+(1+'KJ-vuosi'!B16)^(-1/12)</f>
        <v>0.99835114192125218</v>
      </c>
      <c r="AD33">
        <f>+AD32*AC32</f>
        <v>0.99178285214479678</v>
      </c>
    </row>
    <row r="34" spans="1:30">
      <c r="B34" s="6" t="s">
        <v>108</v>
      </c>
      <c r="F34" s="29"/>
    </row>
    <row r="36" spans="1:30">
      <c r="A36" s="6" t="s">
        <v>27</v>
      </c>
    </row>
    <row r="38" spans="1:30" ht="18">
      <c r="A38" s="1" t="s">
        <v>28</v>
      </c>
      <c r="I38" s="13"/>
    </row>
    <row r="39" spans="1:30">
      <c r="I39" s="13"/>
    </row>
    <row r="40" spans="1:30">
      <c r="A40" s="6" t="s">
        <v>163</v>
      </c>
      <c r="D40" s="119">
        <f>IF(F6="",18,YEAR(F6)-(1900+MID(F5,5,2)))</f>
        <v>18</v>
      </c>
      <c r="I40" s="13"/>
    </row>
    <row r="41" spans="1:30">
      <c r="A41" s="113" t="s">
        <v>125</v>
      </c>
      <c r="D41" s="33" t="str">
        <f>+"1.7."&amp;TEXT('KJ-vuosi'!$B$3,0)</f>
        <v>1.7.2021</v>
      </c>
      <c r="I41" s="13"/>
    </row>
    <row r="42" spans="1:30">
      <c r="C42" s="32"/>
      <c r="I42" s="13"/>
    </row>
    <row r="43" spans="1:30" ht="13">
      <c r="A43" s="5" t="s">
        <v>8</v>
      </c>
      <c r="I43" s="13"/>
    </row>
    <row r="44" spans="1:30">
      <c r="C44" s="7" t="s">
        <v>14</v>
      </c>
      <c r="D44" s="7" t="s">
        <v>23</v>
      </c>
      <c r="E44" s="114" t="s">
        <v>119</v>
      </c>
      <c r="I44" s="13"/>
    </row>
    <row r="45" spans="1:30">
      <c r="C45" s="7" t="s">
        <v>9</v>
      </c>
      <c r="D45" s="9" t="s">
        <v>24</v>
      </c>
      <c r="E45" s="7" t="s">
        <v>26</v>
      </c>
      <c r="I45" s="13"/>
    </row>
    <row r="46" spans="1:30">
      <c r="C46" s="8"/>
      <c r="D46" s="9" t="s">
        <v>25</v>
      </c>
      <c r="E46" s="7" t="str">
        <f>+D41&amp;")"</f>
        <v>1.7.2021)</v>
      </c>
      <c r="I46" s="13"/>
    </row>
    <row r="47" spans="1:30">
      <c r="C47" s="8"/>
      <c r="E47" s="9"/>
      <c r="I47" s="13"/>
    </row>
    <row r="48" spans="1:30" ht="13">
      <c r="A48" s="5" t="s">
        <v>88</v>
      </c>
      <c r="C48" s="8"/>
      <c r="D48" s="8"/>
      <c r="E48" s="9"/>
      <c r="I48" s="13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"/>
    </row>
    <row r="50" spans="1:9" ht="13">
      <c r="A50" s="5"/>
      <c r="C50" s="11">
        <f>'Virkamies 3'!F$6</f>
        <v>0</v>
      </c>
      <c r="D50" s="11">
        <f>'Virkamies 3'!F$8</f>
        <v>0</v>
      </c>
      <c r="E50" s="21" t="str">
        <f>$D$41</f>
        <v>1.7.2021</v>
      </c>
      <c r="F50" s="11"/>
      <c r="G50" s="7" t="s">
        <v>60</v>
      </c>
      <c r="I50" s="6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3'!$F$7),aika3,4))*(VLOOKUP(MONTH('Virkamies 3'!$F$7),aika3,2)),2)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3'!$F$12*12*VLOOKUP($D$40,IF(DAYS360('poa2021'!$B$1,$F$6)&gt;0,'poa2021'!$F$5:$I$57,vastuunjako),3)</f>
        <v>0</v>
      </c>
      <c r="D52" s="17">
        <f>C52*(1+0.031*((IF(DAY('Virkamies 3'!$F$8)=31,DAYS360('Virkamies 3'!$F$6,'Virkamies 3'!$F$8,TRUE)-1,DAYS360('Virkamies 3'!$F$6,'Virkamies 3'!$F$8,TRUE)))/360))</f>
        <v>0</v>
      </c>
      <c r="E52" s="25">
        <f>ROUND(D52*(VLOOKUP(MONTH('Virkamies 3'!$F$7),aika3,4))*(VLOOKUP(MONTH('Virkamies 3'!$F$7),aika3,2)),2)</f>
        <v>0</v>
      </c>
      <c r="G52" s="82">
        <f>E52</f>
        <v>0</v>
      </c>
    </row>
    <row r="53" spans="1:9">
      <c r="A53" s="14" t="s">
        <v>3</v>
      </c>
      <c r="B53" s="28"/>
      <c r="C53" s="15">
        <f>'Virkamies 3'!$F$12*12*VLOOKUP($D$40,IF(DAYS360('poa2021'!$B$1,$F$6)&gt;0,'poa2021'!$F$5:$I$57,vastuunjako),4)</f>
        <v>0</v>
      </c>
      <c r="D53" s="15">
        <f>C53*(1+0.031*((IF(DAY('Virkamies 3'!$F$8)=31,DAYS360('Virkamies 3'!$F$6,'Virkamies 3'!$F$8,TRUE)-1,DAYS360('Virkamies 3'!$F$6,'Virkamies 3'!$F$8,TRUE)))/360))</f>
        <v>0</v>
      </c>
      <c r="E53" s="26">
        <f>ROUND(D53*(VLOOKUP(MONTH('Virkamies 3'!$F$7),aika3,4))*(VLOOKUP(MONTH('Virkamies 3'!$F$7),aika3,2)),2)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3'!$F$12*12*VLOOKUP($D$40,IF(DAYS360('poa2021'!$B$1,$F$6)&gt;0,'poa2021'!$B$5:$C$57,perusturva),2)</f>
        <v>0</v>
      </c>
      <c r="D54" s="32">
        <f>C54*(1+0.031*((IF(DAY('Virkamies 3'!$F$8)=31,DAYS360('Virkamies 3'!$F$6,'Virkamies 3'!$F$8,TRUE)-1,DAYS360('Virkamies 3'!$F$6,'Virkamies 3'!$F$8,TRUE)))/360))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3'!$F$14*12*VLOOKUP($D$40,IF(DAYS360('poa2021'!B1,F6)&gt;0,'poa2021'!B5:C57,perusturva),2))*(1+0.031*((IF(DAY('Virkamies 3'!$F$8)=31,DAYS360('Virkamies 3'!$F$6,'Virkamies 3'!$F$8,TRUE)-1,DAYS360('Virkamies 3'!$F$6,'Virkamies 3'!$F$8,TRUE)))/360))*(VLOOKUP(MONTH('Virkamies 3'!$F$7),aika1,4))*(VLOOKUP(MONTH('Virkamies 3'!$F$7),aika1,2))),2)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3'!F$6</f>
        <v>0</v>
      </c>
      <c r="D58" s="11">
        <f>'Virkamies 3'!F$8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3'!$F$7),aika3,4))*(VLOOKUP(MONTH('Virkamies 3'!$F$7),aika3,2)),2)</f>
        <v>0</v>
      </c>
    </row>
    <row r="60" spans="1:9">
      <c r="A60" s="10" t="s">
        <v>2</v>
      </c>
      <c r="C60" s="17">
        <f>'Virkamies 3'!$F$13*12*VLOOKUP($D$40,IF(DAYS360('poa2021'!$B$1,$F$6)&gt;0,'poa2021'!$F$5:$I$57,vastuunjako),3)</f>
        <v>0</v>
      </c>
      <c r="D60" s="83">
        <f>C60*(1+0.031*((IF(DAY('Virkamies 3'!$F$8)=31,DAYS360('Virkamies 3'!$F$6,'Virkamies 3'!$F$8,TRUE)-1,DAYS360('Virkamies 3'!$F$6,'Virkamies 3'!$F$8,TRUE)))/360))</f>
        <v>0</v>
      </c>
      <c r="E60" s="84">
        <f>ROUND(D60*(VLOOKUP(MONTH('Virkamies 3'!$F$7),aika3,4))*(VLOOKUP(MONTH('Virkamies 3'!$F$7),aika3,2)),2)</f>
        <v>0</v>
      </c>
    </row>
    <row r="61" spans="1:9">
      <c r="A61" s="14" t="s">
        <v>3</v>
      </c>
      <c r="B61" s="28"/>
      <c r="C61" s="15">
        <f>'Virkamies 3'!$F$13*12*VLOOKUP($D$40,IF(DAYS360('poa2021'!$B$1,$F$6)&gt;0,'poa2021'!$F$5:$I$57,vastuunjako),4)</f>
        <v>0</v>
      </c>
      <c r="D61" s="85">
        <f>C61*(1+0.031*((IF(DAY('Virkamies 3'!$F$8)=31,DAYS360('Virkamies 3'!$F$6,'Virkamies 3'!$F$8,TRUE)-1,DAYS360('Virkamies 3'!$F$6,'Virkamies 3'!$F$8,TRUE)))/360))</f>
        <v>0</v>
      </c>
      <c r="E61" s="86">
        <f>ROUND(D61*(VLOOKUP(MONTH('Virkamies 3'!$F$7),aika3,4))*(VLOOKUP(MONTH('Virkamies 3'!$F$7),aika3,2)),2)</f>
        <v>0</v>
      </c>
    </row>
    <row r="62" spans="1:9">
      <c r="A62" s="6" t="s">
        <v>10</v>
      </c>
      <c r="C62" s="32">
        <f>'Virkamies 3'!$F$13*12*VLOOKUP($D$40,IF(DAYS360('poa2021'!$B$1,$F$6)&gt;0,'poa2021'!$B$5:$C$57,perusturva),2)</f>
        <v>0</v>
      </c>
      <c r="D62" s="13">
        <f>C62*(1+0.031*((IF(DAY('Virkamies 3'!$F$8)=31,DAYS360('Virkamies 3'!$F$6,'Virkamies 3'!$F$8,TRUE)-1,DAYS360('Virkamies 3'!$F$6,'Virkamies 3'!$F$8,TRUE)))/360))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1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1" ht="13">
      <c r="A66" s="5"/>
      <c r="C66" s="11">
        <f>'Virkamies 3'!F$6</f>
        <v>0</v>
      </c>
      <c r="D66" s="11">
        <f>'Virkamies 3'!F$8</f>
        <v>0</v>
      </c>
      <c r="E66" s="21" t="str">
        <f>$D$41</f>
        <v>1.7.2021</v>
      </c>
      <c r="G66" s="7" t="s">
        <v>62</v>
      </c>
    </row>
    <row r="67" spans="1:11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3'!$F$7),aikaYEL3,4))*(VLOOKUP(MONTH('Virkamies 3'!$F$7),aikaYEL3,2)),2)</f>
        <v>0</v>
      </c>
      <c r="G67" s="7" t="s">
        <v>63</v>
      </c>
    </row>
    <row r="68" spans="1:11">
      <c r="A68" s="10" t="s">
        <v>2</v>
      </c>
      <c r="C68" s="17">
        <f>'Virkamies 3'!$F$15*12*VLOOKUP($D$40,IF(DAYS360('poa2021'!$B$1,$F$6)&gt;0,'poa2021'!$F$5:$I$57,vastuunjako),3)</f>
        <v>0</v>
      </c>
      <c r="D68" s="17">
        <f>C68*(1+0.031*((IF(DAY('Virkamies 3'!$F$8)=31,DAYS360('Virkamies 3'!$F$6,'Virkamies 3'!$F$8,TRUE)-1,DAYS360('Virkamies 3'!$F$6,'Virkamies 3'!$F$8,TRUE)))/360))</f>
        <v>0</v>
      </c>
      <c r="E68" s="84">
        <f>ROUND(D68*(VLOOKUP(MONTH('Virkamies 3'!$F$7),aikaYEL3,4))*(VLOOKUP(MONTH('Virkamies 3'!$F$7),aikaYEL3,2)),2)</f>
        <v>0</v>
      </c>
      <c r="G68" s="13">
        <f>E68</f>
        <v>0</v>
      </c>
    </row>
    <row r="69" spans="1:11">
      <c r="A69" s="14" t="s">
        <v>3</v>
      </c>
      <c r="B69" s="28"/>
      <c r="C69" s="15">
        <f>'Virkamies 3'!$F$15*12*VLOOKUP($D$40,IF(DAYS360('poa2021'!$B$1,$F$6)&gt;0,'poa2021'!$F$5:$I$57,vastuunjako),4)</f>
        <v>0</v>
      </c>
      <c r="D69" s="15">
        <f>C69*(1+0.031*((IF(DAY('Virkamies 3'!$F$8)=31,DAYS360('Virkamies 3'!$F$6,'Virkamies 3'!$F$8,TRUE)-1,DAYS360('Virkamies 3'!$F$6,'Virkamies 3'!$F$8,TRUE)))/360))</f>
        <v>0</v>
      </c>
      <c r="E69" s="86">
        <f>ROUND(D69*(VLOOKUP(MONTH('Virkamies 3'!$F$7),aikaYEL3,4))*(VLOOKUP(MONTH('Virkamies 3'!$F$7),aikaYEL3,2)),2)</f>
        <v>0</v>
      </c>
      <c r="G69" s="15">
        <f>E69</f>
        <v>0</v>
      </c>
    </row>
    <row r="70" spans="1:11" ht="13">
      <c r="A70" s="6" t="s">
        <v>10</v>
      </c>
      <c r="C70" s="32">
        <f>'Virkamies 3'!$F$15*12*VLOOKUP($D$40,IF(DAYS360('poa2021'!$B$1,$F$6)&gt;0,'poa2021'!$B$5:$C$57,perusturva),2)</f>
        <v>0</v>
      </c>
      <c r="D70" s="83">
        <f>C70*(1+0.031*((IF(DAY('Virkamies 3'!$F$8)=31,DAYS360('Virkamies 3'!$F$6,'Virkamies 3'!$F$8,TRUE)-1,DAYS360('Virkamies 3'!$F$6,'Virkamies 3'!$F$8,TRUE)))/360))</f>
        <v>0</v>
      </c>
      <c r="E70" s="83">
        <f>SUM(E67:E69)</f>
        <v>0</v>
      </c>
      <c r="F70" s="52"/>
      <c r="G70" s="44">
        <f>SUM(G68:G69)</f>
        <v>0</v>
      </c>
    </row>
    <row r="71" spans="1:11">
      <c r="C71" s="10"/>
      <c r="G71" s="16"/>
    </row>
    <row r="72" spans="1:11" ht="13">
      <c r="A72" s="5" t="s">
        <v>4</v>
      </c>
      <c r="C72" s="13"/>
      <c r="G72" s="16"/>
    </row>
    <row r="73" spans="1:11" ht="13">
      <c r="A73" s="5"/>
      <c r="C73" s="7" t="s">
        <v>15</v>
      </c>
      <c r="D73" s="7" t="s">
        <v>15</v>
      </c>
      <c r="E73" s="7" t="s">
        <v>15</v>
      </c>
      <c r="G73" s="16"/>
    </row>
    <row r="74" spans="1:11" ht="13">
      <c r="A74" s="5"/>
      <c r="C74" s="11">
        <f>'Virkamies 3'!F$6</f>
        <v>0</v>
      </c>
      <c r="D74" s="11">
        <f>'Virkamies 3'!F$8</f>
        <v>0</v>
      </c>
      <c r="E74" s="21" t="str">
        <f>$D$41</f>
        <v>1.7.2021</v>
      </c>
      <c r="G74" s="16"/>
    </row>
    <row r="75" spans="1:11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3'!$F$7),aika3,4))*(VLOOKUP(MONTH('Virkamies 3'!$F$7),aika3,2)),2)</f>
        <v>0</v>
      </c>
      <c r="G75" s="16"/>
    </row>
    <row r="76" spans="1:11" ht="13">
      <c r="A76" s="10" t="s">
        <v>2</v>
      </c>
      <c r="C76" s="17">
        <f>'Virkamies 3'!$F$16*12*VLOOKUP($D$40,IF(DAYS360('poa2021'!$B$1,$F$6)&gt;0,'poa2021'!$F$5:$I$57,vastuunjako),3)</f>
        <v>0</v>
      </c>
      <c r="D76" s="17">
        <f>C76*(1+0.031*((IF(DAY('Virkamies 3'!$F$8)=31,DAYS360('Virkamies 3'!$F$6,'Virkamies 3'!$F$8,TRUE)-1,DAYS360('Virkamies 3'!$F$6,'Virkamies 3'!$F$8,TRUE)))/360))</f>
        <v>0</v>
      </c>
      <c r="E76" s="24">
        <f>ROUND(D76*(VLOOKUP(MONTH('Virkamies 3'!$F$7),aika3,4))*(VLOOKUP(MONTH('Virkamies 3'!$F$7),aika3,2)),2)</f>
        <v>0</v>
      </c>
      <c r="G76" s="16"/>
    </row>
    <row r="77" spans="1:11" ht="13">
      <c r="A77" s="14" t="s">
        <v>3</v>
      </c>
      <c r="B77" s="28"/>
      <c r="C77" s="15">
        <f>'Virkamies 3'!$F$16*12*VLOOKUP($D$40,IF(DAYS360('poa2021'!$B$1,$F$6)&gt;0,'poa2021'!$F$5:$I$57,vastuunjako),4)</f>
        <v>0</v>
      </c>
      <c r="D77" s="15">
        <f>C77*(1+0.031*((IF(DAY('Virkamies 3'!$F$8)=31,DAYS360('Virkamies 3'!$F$6,'Virkamies 3'!$F$8,TRUE)-1,DAYS360('Virkamies 3'!$F$6,'Virkamies 3'!$F$8,TRUE)))/360))</f>
        <v>0</v>
      </c>
      <c r="E77" s="90">
        <f>ROUND(D77*(VLOOKUP(MONTH('Virkamies 3'!$F$7),aika3,4))*(VLOOKUP(MONTH('Virkamies 3'!$F$7),aika3,2)),2)</f>
        <v>0</v>
      </c>
      <c r="G77" s="16"/>
    </row>
    <row r="78" spans="1:11">
      <c r="A78" s="6" t="s">
        <v>10</v>
      </c>
      <c r="C78" s="32">
        <f>'Virkamies 3'!$F$16*12*VLOOKUP($D$40,IF(DAYS360('poa2021'!$B$1,$F$6)&gt;0,'poa2021'!$B$5:$C$57,perusturva),2)</f>
        <v>0</v>
      </c>
      <c r="D78" s="17">
        <f>C78*(1+0.031*((IF(DAY('Virkamies 3'!$F$8)=31,DAYS360('Virkamies 3'!$F$6,'Virkamies 3'!$F$8,TRUE)-1,DAYS360('Virkamies 3'!$F$6,'Virkamies 3'!$F$8,TRUE)))/360))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1">
      <c r="C79" s="17"/>
      <c r="D79" s="17"/>
      <c r="E79" s="17"/>
      <c r="G79" s="16"/>
      <c r="H79" s="12"/>
      <c r="I79" s="6" t="s">
        <v>111</v>
      </c>
    </row>
    <row r="80" spans="1:11" ht="13">
      <c r="A80" s="89" t="s">
        <v>155</v>
      </c>
      <c r="B80" s="34"/>
      <c r="C80" s="83">
        <f>'Virkamies 3'!$F$21*12*VLOOKUP($D$40,IF(DAYS360('poa2021'!$B$1,$F$6)&gt;0,'poa2021'!$B$62:$E$114,lisäturva),2)+'Virkamies 3'!$F$22*12*VLOOKUP($D$40,IF(DAYS360('poa2021'!$B$1,$F$6)&gt;0,'poa2021'!$B$62:$E$114,lisäturva),IF('Virkamies 3'!$F$23="LL",3,4))</f>
        <v>0</v>
      </c>
      <c r="D80" s="83">
        <f>C80*(1+0.031*((IF(DAY('Virkamies 3'!$F$8)=31,DAYS360('Virkamies 3'!$F$6,'Virkamies 3'!$F$8,TRUE)-1,DAYS360('Virkamies 3'!$F$6,'Virkamies 3'!$F$8,TRUE)))/360))</f>
        <v>0</v>
      </c>
      <c r="E80" s="91">
        <f>ROUND(D80*(VLOOKUP(MONTH('Virkamies 3'!$F$7),aika3,4))*(VLOOKUP(MONTH('Virkamies 3'!$F$7),aika3,2)),2)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</row>
    <row r="81" spans="1:11">
      <c r="A81" s="92"/>
      <c r="B81" s="34"/>
      <c r="C81" s="83"/>
      <c r="D81" s="34"/>
      <c r="E81" s="34"/>
      <c r="K81" s="34"/>
    </row>
    <row r="82" spans="1:11" ht="13">
      <c r="A82" s="89" t="s">
        <v>156</v>
      </c>
      <c r="B82" s="34"/>
      <c r="C82" s="83">
        <f>'Virkamies 3'!$F$24*12*VLOOKUP($D$40,IF(DAYS360('poa2021'!$B$1,$F$6)&gt;0,'poa2021'!$B$62:$E$114,lisäturva),2)+'Virkamies 3'!$F$25*12*VLOOKUP($D$40,IF(DAYS360('poa2021'!$B$1,$F$6)&gt;0,'poa2021'!$B$62:$E$114,lisäturva),IF('Virkamies 3'!$F$26="LL",3,4))</f>
        <v>0</v>
      </c>
      <c r="D82" s="83">
        <f>C82*(1+0.031*((IF(DAY('Virkamies 3'!$F$8)=31,DAYS360('Virkamies 3'!$F$6,'Virkamies 3'!$F$8,TRUE)-1,DAYS360('Virkamies 3'!$F$6,'Virkamies 3'!$F$8,TRUE)))/360))</f>
        <v>0</v>
      </c>
      <c r="E82" s="91">
        <f>ROUND(D82*(VLOOKUP(MONTH('Virkamies 3'!$F$7),aikaYEL3,4))*(VLOOKUP(MONTH('Virkamies 3'!$F$7),aikaYEL3,2)),2)</f>
        <v>0</v>
      </c>
      <c r="G82" s="81"/>
      <c r="K82" s="34"/>
    </row>
    <row r="83" spans="1:11">
      <c r="A83" s="34"/>
      <c r="B83" s="34"/>
      <c r="C83" s="83"/>
      <c r="D83" s="83"/>
      <c r="E83" s="34"/>
      <c r="F83" s="52"/>
      <c r="G83" s="17"/>
    </row>
    <row r="84" spans="1:11" ht="13">
      <c r="A84" s="89" t="s">
        <v>70</v>
      </c>
      <c r="B84" s="34"/>
      <c r="C84" s="13">
        <f>'Virkamies 3'!$F$17*12*VLOOKUP($D$40,IF(DAYS360('poa2021'!$B$1,$F$6)&gt;0,'poa2021'!$B$5:$C$57,perusturva),2)</f>
        <v>0</v>
      </c>
      <c r="D84" s="83">
        <f>ROUND(C84*(1+0.031*((DAYS360($F$6,$F$8))/360)),2)</f>
        <v>0</v>
      </c>
      <c r="E84" s="24">
        <f>ROUND(D84*(VLOOKUP(MONTH('Virkamies 3'!$F$7),aika3,4))*(VLOOKUP(MONTH('Virkamies 3'!$F$7),aika3,2)),2)</f>
        <v>0</v>
      </c>
      <c r="F84" s="88"/>
      <c r="G84" s="83"/>
      <c r="H84" s="34"/>
      <c r="I84" s="32"/>
      <c r="J84" s="34"/>
    </row>
    <row r="85" spans="1:11" s="34" customFormat="1">
      <c r="A85" s="6"/>
      <c r="B85" s="6"/>
      <c r="C85" s="13"/>
      <c r="D85" s="83"/>
      <c r="E85" s="17"/>
      <c r="F85" s="17"/>
      <c r="G85" s="17"/>
      <c r="H85" s="6"/>
      <c r="I85" s="13"/>
      <c r="J85" s="6"/>
      <c r="K85" s="6"/>
    </row>
    <row r="86" spans="1:11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13"/>
      <c r="J86" s="6"/>
      <c r="K86" s="6"/>
    </row>
    <row r="87" spans="1:11" s="34" customFormat="1">
      <c r="A87" s="6"/>
      <c r="B87" s="6"/>
      <c r="D87" s="6"/>
      <c r="E87" s="17"/>
      <c r="F87" s="6"/>
      <c r="G87" s="6"/>
      <c r="H87" s="6"/>
      <c r="I87" s="13"/>
      <c r="J87" s="6"/>
      <c r="K87" s="6"/>
    </row>
    <row r="88" spans="1:11">
      <c r="B88" s="27"/>
      <c r="C88" s="34"/>
      <c r="E88" s="54"/>
      <c r="F88" s="53"/>
    </row>
    <row r="89" spans="1:11">
      <c r="B89" s="10"/>
      <c r="C89" s="34"/>
      <c r="E89" s="13"/>
    </row>
    <row r="90" spans="1:11">
      <c r="C90" s="3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/>
  <dimension ref="A1:AH89"/>
  <sheetViews>
    <sheetView workbookViewId="0">
      <selection activeCell="A2" sqref="A2"/>
    </sheetView>
  </sheetViews>
  <sheetFormatPr defaultColWidth="9.1796875" defaultRowHeight="12.5"/>
  <cols>
    <col min="1" max="1" width="5.453125" style="6" customWidth="1"/>
    <col min="2" max="2" width="34.54296875" style="6" customWidth="1"/>
    <col min="3" max="3" width="18" style="6" customWidth="1"/>
    <col min="4" max="4" width="16.54296875" style="6" customWidth="1"/>
    <col min="5" max="5" width="21.453125" style="6" customWidth="1"/>
    <col min="6" max="6" width="19" style="6" customWidth="1"/>
    <col min="7" max="7" width="16.81640625" style="6" customWidth="1"/>
    <col min="8" max="8" width="10.453125" style="6" customWidth="1"/>
    <col min="9" max="9" width="10.81640625" style="6" customWidth="1"/>
    <col min="10" max="27" width="9.1796875" style="6"/>
    <col min="28" max="28" width="11.54296875" style="6" customWidth="1"/>
    <col min="29" max="16384" width="9.1796875" style="6"/>
  </cols>
  <sheetData>
    <row r="1" spans="1:34" ht="18">
      <c r="A1" s="1" t="s">
        <v>34</v>
      </c>
      <c r="Y1" s="113"/>
      <c r="Z1" s="113"/>
      <c r="AA1" s="113"/>
      <c r="AB1" s="113" t="s">
        <v>22</v>
      </c>
      <c r="AC1" s="114" t="s">
        <v>20</v>
      </c>
      <c r="AD1" s="113" t="s">
        <v>21</v>
      </c>
      <c r="AE1" s="113"/>
      <c r="AF1" s="113"/>
      <c r="AG1" s="113"/>
      <c r="AH1" s="121" t="str">
        <f>LEFT(F5,2)&amp;"."&amp;MID(F5,3,2)&amp;".19"&amp;MID(F5,5,2)</f>
        <v>..19</v>
      </c>
    </row>
    <row r="2" spans="1:34" ht="18">
      <c r="A2" s="56"/>
      <c r="B2" s="54"/>
      <c r="D2" s="55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13">
      <c r="A3" s="5" t="s">
        <v>19</v>
      </c>
      <c r="D3" s="13"/>
      <c r="Y3" s="113"/>
      <c r="Z3" s="113"/>
      <c r="AA3" s="113">
        <v>1</v>
      </c>
      <c r="AB3" s="122">
        <f>(1+'KJ-vuosi'!B4)^((31-DAY($F$7))/360)</f>
        <v>1.001706680964418</v>
      </c>
      <c r="AC3" s="113">
        <f>+(1+'KJ-vuosi'!B4)^(1/12)</f>
        <v>1.0016515813019202</v>
      </c>
      <c r="AD3" s="113">
        <f>AC4*AD4</f>
        <v>1.0082852288053108</v>
      </c>
      <c r="AE3" s="113"/>
      <c r="AF3" s="113"/>
      <c r="AG3" s="113"/>
      <c r="AH3" s="113"/>
    </row>
    <row r="4" spans="1:34" ht="13">
      <c r="A4" s="5"/>
      <c r="B4" s="6" t="s">
        <v>30</v>
      </c>
      <c r="F4" s="37"/>
      <c r="Y4" s="113"/>
      <c r="Z4" s="113"/>
      <c r="AA4" s="113">
        <v>2</v>
      </c>
      <c r="AB4" s="122">
        <f>(1+'KJ-vuosi'!B5)^((31-DAY($F$7))/360)</f>
        <v>1.001706680964418</v>
      </c>
      <c r="AC4" s="113">
        <f>+(1+'KJ-vuosi'!B5)^(1/12)</f>
        <v>1.0016515813019202</v>
      </c>
      <c r="AD4" s="113">
        <f t="shared" ref="AD4:AD7" si="0">AC5*AD5</f>
        <v>1.006622709560113</v>
      </c>
      <c r="AE4" s="113"/>
      <c r="AF4" s="113"/>
      <c r="AG4" s="113"/>
      <c r="AH4" s="113"/>
    </row>
    <row r="5" spans="1:34">
      <c r="B5" s="6" t="s">
        <v>5</v>
      </c>
      <c r="F5" s="102"/>
      <c r="Y5" s="113"/>
      <c r="Z5" s="113"/>
      <c r="AA5" s="113">
        <v>3</v>
      </c>
      <c r="AB5" s="122">
        <f>(1+'KJ-vuosi'!B6)^((31-DAY($F$7))/360)</f>
        <v>1.001706680964418</v>
      </c>
      <c r="AC5" s="113">
        <f>+(1+'KJ-vuosi'!B6)^(1/12)</f>
        <v>1.0016515813019202</v>
      </c>
      <c r="AD5" s="113">
        <f t="shared" si="0"/>
        <v>1.0049629315732038</v>
      </c>
      <c r="AE5" s="113"/>
      <c r="AF5" s="113"/>
      <c r="AG5" s="113"/>
      <c r="AH5" s="113"/>
    </row>
    <row r="6" spans="1:34">
      <c r="B6" s="6" t="s">
        <v>6</v>
      </c>
      <c r="F6" s="30"/>
      <c r="Y6" s="113"/>
      <c r="Z6" s="113"/>
      <c r="AA6" s="113">
        <v>4</v>
      </c>
      <c r="AB6" s="122">
        <f>(1+'KJ-vuosi'!B7)^((31-DAY($F$7))/360)</f>
        <v>1.001706680964418</v>
      </c>
      <c r="AC6" s="113">
        <f>+(1+'KJ-vuosi'!B7)^(1/12)</f>
        <v>1.0016515813019202</v>
      </c>
      <c r="AD6" s="113">
        <f t="shared" si="0"/>
        <v>1.0033058903246372</v>
      </c>
      <c r="AE6" s="113"/>
      <c r="AF6" s="113"/>
      <c r="AG6" s="113"/>
      <c r="AH6" s="113"/>
    </row>
    <row r="7" spans="1:34">
      <c r="B7" s="6" t="s">
        <v>0</v>
      </c>
      <c r="F7" s="31"/>
      <c r="Y7" s="113"/>
      <c r="Z7" s="113"/>
      <c r="AA7" s="113">
        <v>5</v>
      </c>
      <c r="AB7" s="122">
        <f>(1+'KJ-vuosi'!B8)^((31-DAY($F$7))/360)</f>
        <v>1.001706680964418</v>
      </c>
      <c r="AC7" s="113">
        <f>+(1+'KJ-vuosi'!B8)^(1/12)</f>
        <v>1.0016515813019202</v>
      </c>
      <c r="AD7" s="113">
        <f t="shared" si="0"/>
        <v>1.0016515813019202</v>
      </c>
      <c r="AE7" s="113"/>
      <c r="AF7" s="113"/>
      <c r="AG7" s="113"/>
      <c r="AH7" s="113"/>
    </row>
    <row r="8" spans="1:34">
      <c r="B8" s="6" t="s">
        <v>18</v>
      </c>
      <c r="F8" s="30"/>
      <c r="Y8" s="113"/>
      <c r="Z8" s="113"/>
      <c r="AA8" s="113">
        <v>6</v>
      </c>
      <c r="AB8" s="122">
        <f>(1+'KJ-vuosi'!B9)^((31-DAY($F$7))/360)</f>
        <v>1.001706680964418</v>
      </c>
      <c r="AC8" s="113">
        <f>+(1+'KJ-vuosi'!B9)^(1/12)</f>
        <v>1.0016515813019202</v>
      </c>
      <c r="AD8" s="113">
        <v>1</v>
      </c>
      <c r="AE8" s="113"/>
      <c r="AF8" s="113"/>
      <c r="AG8" s="113"/>
      <c r="AH8" s="113"/>
    </row>
    <row r="9" spans="1:34">
      <c r="F9" s="32"/>
      <c r="Y9" s="113"/>
      <c r="Z9" s="113"/>
      <c r="AA9" s="113">
        <v>7</v>
      </c>
      <c r="AB9" s="122">
        <f>1/((1+'KJ-vuosi'!B10)^((DAY('Virkamies 4'!$F$7))/360))</f>
        <v>1</v>
      </c>
      <c r="AC9" s="113">
        <f>+(1+'KJ-vuosi'!B10)^(-1/12)</f>
        <v>0.99835114192125218</v>
      </c>
      <c r="AD9" s="113">
        <v>1</v>
      </c>
      <c r="AE9" s="113"/>
      <c r="AF9" s="113"/>
      <c r="AG9" s="113"/>
      <c r="AH9" s="113"/>
    </row>
    <row r="10" spans="1:34" ht="13">
      <c r="A10" s="5" t="s">
        <v>7</v>
      </c>
      <c r="F10" s="32"/>
      <c r="Y10" s="113"/>
      <c r="Z10" s="113"/>
      <c r="AA10" s="113">
        <v>8</v>
      </c>
      <c r="AB10" s="122">
        <f>1/((1+'KJ-vuosi'!B11)^((DAY('Virkamies 4'!$F$7))/360))</f>
        <v>1</v>
      </c>
      <c r="AC10" s="113">
        <f>+(1+'KJ-vuosi'!B11)^(-1/12)</f>
        <v>0.99835114192125218</v>
      </c>
      <c r="AD10" s="113">
        <f>+AC9</f>
        <v>0.99835114192125218</v>
      </c>
      <c r="AE10" s="113"/>
      <c r="AF10" s="113"/>
      <c r="AG10" s="113"/>
      <c r="AH10" s="113"/>
    </row>
    <row r="11" spans="1:34" ht="13">
      <c r="A11" s="5" t="s">
        <v>17</v>
      </c>
      <c r="F11" s="32"/>
      <c r="Y11" s="113"/>
      <c r="Z11" s="113"/>
      <c r="AA11" s="113">
        <v>9</v>
      </c>
      <c r="AB11" s="122">
        <f>1/((1+'KJ-vuosi'!B12)^((DAY('Virkamies 4'!$F$7))/360))</f>
        <v>1</v>
      </c>
      <c r="AC11" s="113">
        <f>+(1+'KJ-vuosi'!B12)^(-1/12)</f>
        <v>0.99835114192125218</v>
      </c>
      <c r="AD11" s="113">
        <f>+AD10*AC10</f>
        <v>0.99670500257546824</v>
      </c>
      <c r="AE11" s="113"/>
      <c r="AF11" s="113"/>
      <c r="AG11" s="113"/>
      <c r="AH11" s="113"/>
    </row>
    <row r="12" spans="1:34">
      <c r="B12" s="113" t="s">
        <v>120</v>
      </c>
      <c r="F12" s="29"/>
      <c r="G12" s="13"/>
      <c r="Y12" s="113"/>
      <c r="Z12" s="113"/>
      <c r="AA12" s="113">
        <v>10</v>
      </c>
      <c r="AB12" s="122">
        <f>1/((1+'KJ-vuosi'!B13)^((DAY('Virkamies 4'!$F$7))/360))</f>
        <v>1</v>
      </c>
      <c r="AC12" s="113">
        <f>+(1+'KJ-vuosi'!B13)^(-1/12)</f>
        <v>0.99835114192125218</v>
      </c>
      <c r="AD12" s="113">
        <f>+AD11*AC11</f>
        <v>0.99506157747984336</v>
      </c>
      <c r="AE12" s="113"/>
      <c r="AF12" s="113"/>
      <c r="AG12" s="113"/>
      <c r="AH12" s="113"/>
    </row>
    <row r="13" spans="1:34">
      <c r="B13" s="6" t="s">
        <v>42</v>
      </c>
      <c r="F13" s="29"/>
      <c r="Y13" s="113"/>
      <c r="Z13" s="113"/>
      <c r="AA13" s="113">
        <v>11</v>
      </c>
      <c r="AB13" s="122">
        <f>1/((1+'KJ-vuosi'!B14)^((DAY('Virkamies 4'!$F$7))/360))</f>
        <v>1</v>
      </c>
      <c r="AC13" s="113">
        <f>+(1+'KJ-vuosi'!B14)^(-1/12)</f>
        <v>0.99835114192125218</v>
      </c>
      <c r="AD13" s="113">
        <f>+AD12*AC12</f>
        <v>0.99342086215896419</v>
      </c>
      <c r="AE13" s="113"/>
      <c r="AF13" s="113"/>
      <c r="AG13" s="113"/>
      <c r="AH13" s="113"/>
    </row>
    <row r="14" spans="1:34">
      <c r="B14" s="6" t="s">
        <v>92</v>
      </c>
      <c r="F14" s="29"/>
      <c r="Y14" s="113"/>
      <c r="Z14" s="113"/>
      <c r="AA14" s="113">
        <v>12</v>
      </c>
      <c r="AB14" s="122">
        <f>1/((1+'KJ-vuosi'!B15)^((DAY('Virkamies 4'!$F$7))/360))</f>
        <v>1</v>
      </c>
      <c r="AC14" s="113">
        <f>+(1+'KJ-vuosi'!B15)^(-1/12)</f>
        <v>0.99835114192125218</v>
      </c>
      <c r="AD14" s="113">
        <f>+AD13*AC13</f>
        <v>0.99178285214479678</v>
      </c>
      <c r="AE14" s="113"/>
      <c r="AF14" s="113"/>
      <c r="AG14" s="113"/>
      <c r="AH14" s="113"/>
    </row>
    <row r="15" spans="1:34">
      <c r="B15" s="6" t="s">
        <v>43</v>
      </c>
      <c r="F15" s="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>
      <c r="B16" s="6" t="s">
        <v>44</v>
      </c>
      <c r="F16" s="29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</row>
    <row r="17" spans="1:34">
      <c r="B17" s="6" t="s">
        <v>69</v>
      </c>
      <c r="F17" s="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</row>
    <row r="18" spans="1:34">
      <c r="F18" s="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3">
      <c r="A19" s="5" t="s">
        <v>154</v>
      </c>
      <c r="F19" s="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</row>
    <row r="20" spans="1:34" ht="13">
      <c r="A20" s="5" t="s">
        <v>17</v>
      </c>
      <c r="F20" s="13"/>
      <c r="Y20" s="113"/>
      <c r="Z20" s="113"/>
      <c r="AA20" s="113"/>
      <c r="AB20" s="113" t="s">
        <v>73</v>
      </c>
      <c r="AC20" s="113" t="s">
        <v>20</v>
      </c>
      <c r="AD20" s="113" t="s">
        <v>21</v>
      </c>
      <c r="AE20" s="113"/>
      <c r="AF20" s="113"/>
      <c r="AG20" s="113"/>
      <c r="AH20" s="121" t="str">
        <f>LEFT(F5,2)&amp;"."&amp;MID(F5,3,2)&amp;".19"&amp;MID(F5,5,2)</f>
        <v>..19</v>
      </c>
    </row>
    <row r="21" spans="1:34">
      <c r="B21" s="113" t="s">
        <v>149</v>
      </c>
      <c r="F21" s="29"/>
      <c r="G21" s="13"/>
      <c r="Y21" s="113"/>
      <c r="Z21" s="113"/>
      <c r="AA21" s="113"/>
      <c r="AB21" s="113" t="s">
        <v>74</v>
      </c>
      <c r="AC21" s="113"/>
      <c r="AD21" s="113"/>
      <c r="AE21" s="113"/>
      <c r="AF21" s="113"/>
      <c r="AG21" s="113"/>
      <c r="AH21" s="113"/>
    </row>
    <row r="22" spans="1:34">
      <c r="B22" s="113" t="s">
        <v>150</v>
      </c>
      <c r="F22" s="29"/>
      <c r="G22" s="13"/>
      <c r="Y22" s="113"/>
      <c r="Z22" s="113" t="s">
        <v>72</v>
      </c>
      <c r="AA22" s="113">
        <v>1</v>
      </c>
      <c r="AB22" s="122">
        <f>(1+'KJ-vuosi'!$B$16)^((31-DAY($F$7))/360)</f>
        <v>1.001706680964418</v>
      </c>
      <c r="AC22" s="113">
        <f>+(1+'KJ-vuosi'!B16)^(1/12)</f>
        <v>1.0016515813019202</v>
      </c>
      <c r="AD22" s="113">
        <f>AC23*AD23</f>
        <v>1.0082852288053108</v>
      </c>
      <c r="AE22" s="113"/>
      <c r="AF22" s="113"/>
      <c r="AG22" s="113"/>
      <c r="AH22" s="113"/>
    </row>
    <row r="23" spans="1:34">
      <c r="B23" s="6" t="s">
        <v>112</v>
      </c>
      <c r="F23" s="102"/>
      <c r="Y23" s="113"/>
      <c r="Z23" s="113"/>
      <c r="AA23" s="113">
        <v>2</v>
      </c>
      <c r="AB23" s="122">
        <f>(1+'KJ-vuosi'!$B$16)^((31-DAY($F$7))/360)</f>
        <v>1.001706680964418</v>
      </c>
      <c r="AC23" s="113">
        <f>+(1+'KJ-vuosi'!B16)^(1/12)</f>
        <v>1.0016515813019202</v>
      </c>
      <c r="AD23" s="113">
        <f t="shared" ref="AD23:AD26" si="1">AC24*AD24</f>
        <v>1.006622709560113</v>
      </c>
      <c r="AE23" s="113"/>
      <c r="AF23" s="113"/>
      <c r="AG23" s="113"/>
      <c r="AH23" s="113"/>
    </row>
    <row r="24" spans="1:34">
      <c r="B24" s="113" t="s">
        <v>151</v>
      </c>
      <c r="F24" s="29"/>
      <c r="Y24" s="113"/>
      <c r="Z24" s="113"/>
      <c r="AA24" s="113">
        <v>3</v>
      </c>
      <c r="AB24" s="122">
        <f>(1+'KJ-vuosi'!$B$16)^((31-DAY($F$7))/360)</f>
        <v>1.001706680964418</v>
      </c>
      <c r="AC24" s="113">
        <f>+(1+'KJ-vuosi'!B16)^(1/12)</f>
        <v>1.0016515813019202</v>
      </c>
      <c r="AD24" s="113">
        <f t="shared" si="1"/>
        <v>1.0049629315732038</v>
      </c>
      <c r="AE24" s="113"/>
      <c r="AF24" s="113"/>
      <c r="AG24" s="113"/>
      <c r="AH24" s="113"/>
    </row>
    <row r="25" spans="1:34">
      <c r="B25" s="113" t="s">
        <v>152</v>
      </c>
      <c r="F25" s="29"/>
      <c r="Y25" s="113"/>
      <c r="Z25" s="113"/>
      <c r="AA25" s="113">
        <v>4</v>
      </c>
      <c r="AB25" s="122">
        <f>(1+'KJ-vuosi'!$B$16)^((31-DAY($F$7))/360)</f>
        <v>1.001706680964418</v>
      </c>
      <c r="AC25" s="113">
        <f>+(1+'KJ-vuosi'!B16)^(1/12)</f>
        <v>1.0016515813019202</v>
      </c>
      <c r="AD25" s="113">
        <f t="shared" si="1"/>
        <v>1.0033058903246372</v>
      </c>
      <c r="AE25" s="113"/>
      <c r="AF25" s="113"/>
      <c r="AG25" s="113"/>
      <c r="AH25" s="113"/>
    </row>
    <row r="26" spans="1:34">
      <c r="B26" s="6" t="s">
        <v>113</v>
      </c>
      <c r="F26" s="102"/>
      <c r="Y26" s="113"/>
      <c r="Z26" s="113"/>
      <c r="AA26" s="113">
        <v>5</v>
      </c>
      <c r="AB26" s="122">
        <f>(1+'KJ-vuosi'!$B$16)^((31-DAY($F$7))/360)</f>
        <v>1.001706680964418</v>
      </c>
      <c r="AC26" s="113">
        <f>+(1+'KJ-vuosi'!B16)^(1/12)</f>
        <v>1.0016515813019202</v>
      </c>
      <c r="AD26" s="113">
        <f t="shared" si="1"/>
        <v>1.0016515813019202</v>
      </c>
      <c r="AE26" s="113"/>
      <c r="AF26" s="113"/>
      <c r="AG26" s="113"/>
      <c r="AH26" s="113"/>
    </row>
    <row r="27" spans="1:34">
      <c r="Y27" s="113"/>
      <c r="Z27" s="113"/>
      <c r="AA27" s="113">
        <v>6</v>
      </c>
      <c r="AB27" s="122">
        <f>(1+'KJ-vuosi'!$B$16)^((31-DAY($F$7))/360)</f>
        <v>1.001706680964418</v>
      </c>
      <c r="AC27" s="113">
        <f>+(1+'KJ-vuosi'!B16)^(1/12)</f>
        <v>1.0016515813019202</v>
      </c>
      <c r="AD27" s="113">
        <v>1</v>
      </c>
      <c r="AE27" s="113"/>
      <c r="AF27" s="113"/>
      <c r="AG27" s="113"/>
      <c r="AH27" s="113"/>
    </row>
    <row r="28" spans="1:34" ht="13">
      <c r="A28" s="5" t="s">
        <v>153</v>
      </c>
      <c r="B28" s="5"/>
      <c r="F28" s="100">
        <f>F7</f>
        <v>0</v>
      </c>
      <c r="Y28" s="113"/>
      <c r="Z28" s="113"/>
      <c r="AA28" s="113">
        <v>7</v>
      </c>
      <c r="AB28" s="122">
        <f>1/((1+'KJ-vuosi'!$B$16)^((DAY('Virkamies 4'!$F$7))/360))</f>
        <v>1</v>
      </c>
      <c r="AC28" s="113">
        <f>+(1+'KJ-vuosi'!B16)^(-1/12)</f>
        <v>0.99835114192125218</v>
      </c>
      <c r="AD28" s="113">
        <v>1</v>
      </c>
      <c r="AE28" s="113"/>
      <c r="AF28" s="113"/>
      <c r="AG28" s="113"/>
      <c r="AH28" s="113"/>
    </row>
    <row r="29" spans="1:34" ht="13">
      <c r="B29" s="6" t="s">
        <v>103</v>
      </c>
      <c r="F29" s="101"/>
      <c r="Y29" s="113"/>
      <c r="Z29" s="113"/>
      <c r="AA29" s="113">
        <v>8</v>
      </c>
      <c r="AB29" s="122">
        <f>1/((1+'KJ-vuosi'!$B$16)^((DAY('Virkamies 4'!$F$7))/360))</f>
        <v>1</v>
      </c>
      <c r="AC29" s="113">
        <f>+(1+'KJ-vuosi'!B16)^(-1/12)</f>
        <v>0.99835114192125218</v>
      </c>
      <c r="AD29" s="113">
        <f>+AC28</f>
        <v>0.99835114192125218</v>
      </c>
      <c r="AE29" s="113"/>
      <c r="AF29" s="113"/>
      <c r="AG29" s="113"/>
      <c r="AH29" s="113"/>
    </row>
    <row r="30" spans="1:34">
      <c r="B30" s="6" t="s">
        <v>104</v>
      </c>
      <c r="F30" s="29"/>
      <c r="Y30" s="113"/>
      <c r="Z30" s="113"/>
      <c r="AA30" s="113">
        <v>9</v>
      </c>
      <c r="AB30" s="122">
        <f>1/((1+'KJ-vuosi'!$B$16)^((DAY('Virkamies 4'!$F$7))/360))</f>
        <v>1</v>
      </c>
      <c r="AC30" s="113">
        <f>+(1+'KJ-vuosi'!B16)^(-1/12)</f>
        <v>0.99835114192125218</v>
      </c>
      <c r="AD30" s="113">
        <f>+AD29*AC29</f>
        <v>0.99670500257546824</v>
      </c>
      <c r="AE30" s="113"/>
      <c r="AF30" s="113"/>
      <c r="AG30" s="113"/>
      <c r="AH30" s="113"/>
    </row>
    <row r="31" spans="1:34" ht="13">
      <c r="B31" s="6" t="s">
        <v>105</v>
      </c>
      <c r="F31" s="101"/>
      <c r="Y31" s="113"/>
      <c r="Z31" s="113"/>
      <c r="AA31" s="113">
        <v>10</v>
      </c>
      <c r="AB31" s="122">
        <f>1/((1+'KJ-vuosi'!$B$16)^((DAY('Virkamies 4'!$F$7))/360))</f>
        <v>1</v>
      </c>
      <c r="AC31" s="113">
        <f>+(1+'KJ-vuosi'!B16)^(-1/12)</f>
        <v>0.99835114192125218</v>
      </c>
      <c r="AD31" s="113">
        <f>+AD30*AC30</f>
        <v>0.99506157747984336</v>
      </c>
      <c r="AE31" s="113"/>
      <c r="AF31" s="113"/>
      <c r="AG31" s="113"/>
      <c r="AH31" s="113"/>
    </row>
    <row r="32" spans="1:34">
      <c r="B32" s="6" t="s">
        <v>106</v>
      </c>
      <c r="F32" s="29"/>
      <c r="Y32" s="113"/>
      <c r="Z32" s="113"/>
      <c r="AA32" s="113">
        <v>11</v>
      </c>
      <c r="AB32" s="122">
        <f>1/((1+'KJ-vuosi'!$B$16)^((DAY('Virkamies 4'!$F$7))/360))</f>
        <v>1</v>
      </c>
      <c r="AC32" s="113">
        <f>+(1+'KJ-vuosi'!B16)^(-1/12)</f>
        <v>0.99835114192125218</v>
      </c>
      <c r="AD32" s="113">
        <f>+AD31*AC31</f>
        <v>0.99342086215896419</v>
      </c>
      <c r="AE32" s="113"/>
      <c r="AF32" s="113"/>
      <c r="AG32" s="113"/>
      <c r="AH32" s="113"/>
    </row>
    <row r="33" spans="1:34" ht="13">
      <c r="B33" s="6" t="s">
        <v>107</v>
      </c>
      <c r="F33" s="101"/>
      <c r="Y33" s="113"/>
      <c r="Z33" s="113"/>
      <c r="AA33" s="113">
        <v>12</v>
      </c>
      <c r="AB33" s="122">
        <f>1/((1+'KJ-vuosi'!$B$16)^((DAY('Virkamies 4'!$F$7))/360))</f>
        <v>1</v>
      </c>
      <c r="AC33" s="113">
        <f>+(1+'KJ-vuosi'!B16)^(-1/12)</f>
        <v>0.99835114192125218</v>
      </c>
      <c r="AD33" s="113">
        <f>+AD32*AC32</f>
        <v>0.99178285214479678</v>
      </c>
      <c r="AE33" s="113"/>
      <c r="AF33" s="113"/>
      <c r="AG33" s="113"/>
      <c r="AH33" s="113"/>
    </row>
    <row r="34" spans="1:34">
      <c r="B34" s="6" t="s">
        <v>108</v>
      </c>
      <c r="F34" s="29"/>
      <c r="I34" s="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1:34">
      <c r="I35" s="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</row>
    <row r="36" spans="1:34">
      <c r="A36" s="6" t="s">
        <v>27</v>
      </c>
      <c r="I36" s="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</row>
    <row r="37" spans="1:34">
      <c r="I37" s="13"/>
    </row>
    <row r="38" spans="1:34" ht="18">
      <c r="A38" s="1" t="s">
        <v>28</v>
      </c>
      <c r="I38" s="13"/>
    </row>
    <row r="39" spans="1:34">
      <c r="I39" s="13"/>
    </row>
    <row r="40" spans="1:34">
      <c r="A40" s="6" t="s">
        <v>163</v>
      </c>
      <c r="D40" s="119">
        <f>IF(F6="",18,YEAR(F6)-(1900+MID(F5,5,2)))</f>
        <v>18</v>
      </c>
      <c r="I40" s="13"/>
    </row>
    <row r="41" spans="1:34">
      <c r="A41" s="113" t="s">
        <v>125</v>
      </c>
      <c r="D41" s="33" t="str">
        <f>+"1.7."&amp;TEXT('KJ-vuosi'!$B$3,0)</f>
        <v>1.7.2021</v>
      </c>
      <c r="I41" s="13"/>
    </row>
    <row r="42" spans="1:34">
      <c r="C42" s="32"/>
      <c r="I42" s="13"/>
    </row>
    <row r="43" spans="1:34" ht="13">
      <c r="A43" s="5" t="s">
        <v>8</v>
      </c>
      <c r="I43" s="13"/>
    </row>
    <row r="44" spans="1:34">
      <c r="C44" s="7" t="s">
        <v>14</v>
      </c>
      <c r="D44" s="7" t="s">
        <v>23</v>
      </c>
      <c r="E44" s="114" t="s">
        <v>119</v>
      </c>
      <c r="I44" s="13"/>
    </row>
    <row r="45" spans="1:34">
      <c r="C45" s="7" t="s">
        <v>9</v>
      </c>
      <c r="D45" s="9" t="s">
        <v>24</v>
      </c>
      <c r="E45" s="7" t="s">
        <v>26</v>
      </c>
      <c r="I45" s="13"/>
    </row>
    <row r="46" spans="1:34">
      <c r="C46" s="8"/>
      <c r="D46" s="9" t="s">
        <v>25</v>
      </c>
      <c r="E46" s="7" t="str">
        <f>+D41&amp;")"</f>
        <v>1.7.2021)</v>
      </c>
    </row>
    <row r="47" spans="1:34">
      <c r="C47" s="8"/>
      <c r="E47" s="9"/>
    </row>
    <row r="48" spans="1:34" ht="13">
      <c r="A48" s="5" t="s">
        <v>88</v>
      </c>
      <c r="C48" s="8"/>
      <c r="D48" s="8"/>
      <c r="E48" s="9"/>
    </row>
    <row r="49" spans="1:9">
      <c r="C49" s="7" t="s">
        <v>15</v>
      </c>
      <c r="D49" s="7" t="s">
        <v>15</v>
      </c>
      <c r="E49" s="7" t="s">
        <v>15</v>
      </c>
      <c r="F49" s="7"/>
      <c r="G49" s="7" t="s">
        <v>59</v>
      </c>
      <c r="I49" s="132"/>
    </row>
    <row r="50" spans="1:9" ht="13">
      <c r="A50" s="5"/>
      <c r="C50" s="11">
        <f>'Virkamies 4'!F$6</f>
        <v>0</v>
      </c>
      <c r="D50" s="11">
        <f>'Virkamies 4'!F$8</f>
        <v>0</v>
      </c>
      <c r="E50" s="21" t="str">
        <f>$D$41</f>
        <v>1.7.2021</v>
      </c>
      <c r="F50" s="11"/>
      <c r="G50" s="7" t="s">
        <v>60</v>
      </c>
      <c r="I50" s="132" t="s">
        <v>90</v>
      </c>
    </row>
    <row r="51" spans="1:9" ht="13">
      <c r="A51" s="10" t="s">
        <v>1</v>
      </c>
      <c r="C51" s="83">
        <f>C54-C53-C52</f>
        <v>0</v>
      </c>
      <c r="D51" s="83">
        <f>D54-D53-D52</f>
        <v>0</v>
      </c>
      <c r="E51" s="91">
        <f>ROUND(D51*(VLOOKUP(MONTH('Virkamies 4'!$F$7),aika4,4))*(VLOOKUP(MONTH('Virkamies 4'!$F$7),aika4,2)),2)</f>
        <v>0</v>
      </c>
      <c r="G51" s="7" t="s">
        <v>61</v>
      </c>
      <c r="I51" s="6" t="s">
        <v>91</v>
      </c>
    </row>
    <row r="52" spans="1:9">
      <c r="A52" s="10" t="s">
        <v>2</v>
      </c>
      <c r="C52" s="17">
        <f>'Virkamies 4'!$F$12*12*VLOOKUP($D$40,IF(DAYS360('poa2021'!$B$1,$F$6)&gt;0,'poa2021'!$F$5:$I$57,vastuunjako),3)</f>
        <v>0</v>
      </c>
      <c r="D52" s="17">
        <f>C52*(1+0.031*((IF(DAY('Virkamies 4'!$F$8)=31,DAYS360('Virkamies 4'!$F$6,'Virkamies 4'!$F$8,TRUE)-1,DAYS360('Virkamies 4'!$F$6,'Virkamies 4'!$F$8,TRUE)))/360))</f>
        <v>0</v>
      </c>
      <c r="E52" s="25">
        <f>ROUND(D52*(VLOOKUP(MONTH('Virkamies 4'!$F$7),aika4,4))*(VLOOKUP(MONTH('Virkamies 4'!$F$7),aika4,2)),2)</f>
        <v>0</v>
      </c>
      <c r="G52" s="82">
        <f>E52</f>
        <v>0</v>
      </c>
      <c r="H52" s="13"/>
    </row>
    <row r="53" spans="1:9">
      <c r="A53" s="14" t="s">
        <v>3</v>
      </c>
      <c r="B53" s="28"/>
      <c r="C53" s="15">
        <f>'Virkamies 4'!$F$12*12*VLOOKUP($D$40,IF(DAYS360('poa2021'!$B$1,$F$6)&gt;0,'poa2021'!$F$5:$I$57,vastuunjako),4)</f>
        <v>0</v>
      </c>
      <c r="D53" s="15">
        <f>C53*(1+0.031*((IF(DAY('Virkamies 4'!$F$8)=31,DAYS360('Virkamies 4'!$F$6,'Virkamies 4'!$F$8,TRUE)-1,DAYS360('Virkamies 4'!$F$6,'Virkamies 4'!$F$8,TRUE)))/360))</f>
        <v>0</v>
      </c>
      <c r="E53" s="26">
        <f>ROUND(D53*(VLOOKUP(MONTH('Virkamies 4'!$F$7),aika4,4))*(VLOOKUP(MONTH('Virkamies 4'!$F$7),aika4,2)),2)</f>
        <v>0</v>
      </c>
      <c r="G53" s="15">
        <f>E53</f>
        <v>0</v>
      </c>
      <c r="I53" s="28"/>
    </row>
    <row r="54" spans="1:9" ht="13">
      <c r="A54" s="6" t="s">
        <v>10</v>
      </c>
      <c r="C54" s="32">
        <f>'Virkamies 4'!$F$12*12*VLOOKUP($D$40,IF(DAYS360('poa2021'!$B$1,$F$6)&gt;0,'poa2021'!$B$5:$C$57,perusturva),2)</f>
        <v>0</v>
      </c>
      <c r="D54" s="32">
        <f>C54*(1+0.031*((IF(DAY('Virkamies 4'!$F$8)=31,DAYS360('Virkamies 4'!$F$6,'Virkamies 4'!$F$8,TRUE)-1,DAYS360('Virkamies 4'!$F$6,'Virkamies 4'!$F$8,TRUE)))/360))</f>
        <v>0</v>
      </c>
      <c r="E54" s="32">
        <f>SUM(E51:E53)</f>
        <v>0</v>
      </c>
      <c r="F54" s="52"/>
      <c r="G54" s="44">
        <f>SUM(G52:G53)</f>
        <v>0</v>
      </c>
      <c r="I54" s="95">
        <f>ROUND((('Virkamies 4'!$F$14*12*VLOOKUP($D$40,IF(DAYS360('poa2021'!B1,F6)&gt;0,'poa2021'!B5:C57,perusturva),2))*(1+0.031*((IF(DAY('Virkamies 4'!$F$8)=31,DAYS360('Virkamies 4'!$F$6,'Virkamies 4'!$F$8,TRUE)-1,DAYS360('Virkamies 4'!$F$6,'Virkamies 4'!$F$8,TRUE)))/360))*(VLOOKUP(MONTH('Virkamies 4'!$F$7),aika1,4))*(VLOOKUP(MONTH('Virkamies 4'!$F$7),aika1,2))),2)</f>
        <v>0</v>
      </c>
    </row>
    <row r="55" spans="1:9">
      <c r="C55" s="13"/>
      <c r="D55" s="13"/>
      <c r="E55" s="13"/>
    </row>
    <row r="56" spans="1:9" ht="13">
      <c r="A56" s="5" t="s">
        <v>16</v>
      </c>
      <c r="C56" s="13"/>
      <c r="D56" s="13"/>
      <c r="E56" s="13"/>
    </row>
    <row r="57" spans="1:9">
      <c r="C57" s="7" t="s">
        <v>15</v>
      </c>
      <c r="D57" s="7" t="s">
        <v>15</v>
      </c>
      <c r="E57" s="7" t="s">
        <v>15</v>
      </c>
    </row>
    <row r="58" spans="1:9" ht="13">
      <c r="A58" s="5"/>
      <c r="C58" s="11">
        <f>'Virkamies 4'!F$6</f>
        <v>0</v>
      </c>
      <c r="D58" s="11">
        <f>'Virkamies 4'!F$8</f>
        <v>0</v>
      </c>
      <c r="E58" s="21" t="str">
        <f>$D$41</f>
        <v>1.7.2021</v>
      </c>
    </row>
    <row r="59" spans="1:9" ht="13">
      <c r="A59" s="10" t="s">
        <v>1</v>
      </c>
      <c r="C59" s="83">
        <f>C62-C61-C60</f>
        <v>0</v>
      </c>
      <c r="D59" s="83">
        <f>D62-D61-D60</f>
        <v>0</v>
      </c>
      <c r="E59" s="91">
        <f>ROUND(D59*(VLOOKUP(MONTH('Virkamies 4'!$F$7),aika4,4))*(VLOOKUP(MONTH('Virkamies 4'!$F$7),aika4,2)),2)</f>
        <v>0</v>
      </c>
    </row>
    <row r="60" spans="1:9">
      <c r="A60" s="10" t="s">
        <v>2</v>
      </c>
      <c r="C60" s="17">
        <f>'Virkamies 4'!$F$13*12*VLOOKUP($D$40,IF(DAYS360('poa2021'!$B$1,$F$6)&gt;0,'poa2021'!$F$5:$I$57,vastuunjako),3)</f>
        <v>0</v>
      </c>
      <c r="D60" s="83">
        <f>C60*(1+0.031*((IF(DAY('Virkamies 4'!$F$8)=31,DAYS360('Virkamies 4'!$F$6,'Virkamies 4'!$F$8,TRUE)-1,DAYS360('Virkamies 4'!$F$6,'Virkamies 4'!$F$8,TRUE)))/360))</f>
        <v>0</v>
      </c>
      <c r="E60" s="84">
        <f>ROUND(D60*(VLOOKUP(MONTH('Virkamies 4'!$F$7),aika4,4))*(VLOOKUP(MONTH('Virkamies 4'!$F$7),aika4,2)),2)</f>
        <v>0</v>
      </c>
    </row>
    <row r="61" spans="1:9">
      <c r="A61" s="14" t="s">
        <v>3</v>
      </c>
      <c r="B61" s="28"/>
      <c r="C61" s="15">
        <f>'Virkamies 4'!$F$13*12*VLOOKUP($D$40,IF(DAYS360('poa2021'!$B$1,$F$6)&gt;0,'poa2021'!$F$5:$I$57,vastuunjako),4)</f>
        <v>0</v>
      </c>
      <c r="D61" s="85">
        <f>C61*(1+0.031*((IF(DAY('Virkamies 4'!$F$8)=31,DAYS360('Virkamies 4'!$F$6,'Virkamies 4'!$F$8,TRUE)-1,DAYS360('Virkamies 4'!$F$6,'Virkamies 4'!$F$8,TRUE)))/360))</f>
        <v>0</v>
      </c>
      <c r="E61" s="86">
        <f>ROUND(D61*(VLOOKUP(MONTH('Virkamies 4'!$F$7),aika4,4))*(VLOOKUP(MONTH('Virkamies 4'!$F$7),aika4,2)),2)</f>
        <v>0</v>
      </c>
    </row>
    <row r="62" spans="1:9">
      <c r="A62" s="6" t="s">
        <v>10</v>
      </c>
      <c r="C62" s="32">
        <f>'Virkamies 4'!$F$13*12*VLOOKUP($D$40,IF(DAYS360('poa2021'!$B$1,$F$6)&gt;0,'poa2021'!$B$5:$C$57,perusturva),2)</f>
        <v>0</v>
      </c>
      <c r="D62" s="13">
        <f>C62*(1+0.031*((IF(DAY('Virkamies 4'!$F$8)=31,DAYS360('Virkamies 4'!$F$6,'Virkamies 4'!$F$8,TRUE)-1,DAYS360('Virkamies 4'!$F$6,'Virkamies 4'!$F$8,TRUE)))/360))</f>
        <v>0</v>
      </c>
      <c r="E62" s="13">
        <f>SUM(E59:E61)</f>
        <v>0</v>
      </c>
      <c r="F62" s="52"/>
    </row>
    <row r="63" spans="1:9">
      <c r="C63" s="13"/>
      <c r="D63" s="13"/>
      <c r="E63" s="13"/>
    </row>
    <row r="64" spans="1:9" ht="13">
      <c r="A64" s="5" t="s">
        <v>12</v>
      </c>
      <c r="C64" s="13"/>
    </row>
    <row r="65" spans="1:11" ht="13">
      <c r="A65" s="5"/>
      <c r="C65" s="7" t="s">
        <v>15</v>
      </c>
      <c r="D65" s="7" t="s">
        <v>15</v>
      </c>
      <c r="E65" s="7" t="s">
        <v>15</v>
      </c>
      <c r="G65" s="7" t="s">
        <v>59</v>
      </c>
    </row>
    <row r="66" spans="1:11" ht="13">
      <c r="A66" s="5"/>
      <c r="C66" s="11">
        <f>'Virkamies 4'!F$6</f>
        <v>0</v>
      </c>
      <c r="D66" s="11">
        <f>'Virkamies 4'!F$8</f>
        <v>0</v>
      </c>
      <c r="E66" s="21" t="str">
        <f>$D$41</f>
        <v>1.7.2021</v>
      </c>
      <c r="G66" s="7" t="s">
        <v>62</v>
      </c>
    </row>
    <row r="67" spans="1:11" ht="13">
      <c r="A67" s="10" t="s">
        <v>1</v>
      </c>
      <c r="C67" s="17">
        <f>C70-C69-C68</f>
        <v>0</v>
      </c>
      <c r="D67" s="17">
        <f>D70-D69-D68</f>
        <v>0</v>
      </c>
      <c r="E67" s="91">
        <f>ROUND(D67*(VLOOKUP(MONTH('Virkamies 4'!$F$7),aikaYEL4,4))*(VLOOKUP(MONTH('Virkamies 4'!$F$7),aikaYEL4,2)),2)</f>
        <v>0</v>
      </c>
      <c r="G67" s="7" t="s">
        <v>63</v>
      </c>
    </row>
    <row r="68" spans="1:11">
      <c r="A68" s="10" t="s">
        <v>2</v>
      </c>
      <c r="C68" s="17">
        <f>'Virkamies 4'!$F$15*12*VLOOKUP($D$40,IF(DAYS360('poa2021'!$B$1,$F$6)&gt;0,'poa2021'!$F$5:$I$57,vastuunjako),3)</f>
        <v>0</v>
      </c>
      <c r="D68" s="17">
        <f>C68*(1+0.031*((IF(DAY('Virkamies 4'!$F$8)=31,DAYS360('Virkamies 4'!$F$6,'Virkamies 4'!$F$8,TRUE)-1,DAYS360('Virkamies 4'!$F$6,'Virkamies 4'!$F$8,TRUE)))/360))</f>
        <v>0</v>
      </c>
      <c r="E68" s="84">
        <f>ROUND(D68*(VLOOKUP(MONTH('Virkamies 4'!$F$7),aikaYEL4,4))*(VLOOKUP(MONTH('Virkamies 4'!$F$7),aikaYEL4,2)),2)</f>
        <v>0</v>
      </c>
      <c r="G68" s="13">
        <f>E68</f>
        <v>0</v>
      </c>
    </row>
    <row r="69" spans="1:11">
      <c r="A69" s="14" t="s">
        <v>3</v>
      </c>
      <c r="B69" s="28"/>
      <c r="C69" s="15">
        <f>'Virkamies 4'!$F$15*12*VLOOKUP($D$40,IF(DAYS360('poa2021'!$B$1,$F$6)&gt;0,'poa2021'!$F$5:$I$57,vastuunjako),4)</f>
        <v>0</v>
      </c>
      <c r="D69" s="15">
        <f>C69*(1+0.031*((IF(DAY('Virkamies 4'!$F$8)=31,DAYS360('Virkamies 4'!$F$6,'Virkamies 4'!$F$8,TRUE)-1,DAYS360('Virkamies 4'!$F$6,'Virkamies 4'!$F$8,TRUE)))/360))</f>
        <v>0</v>
      </c>
      <c r="E69" s="86">
        <f>ROUND(D69*(VLOOKUP(MONTH('Virkamies 4'!$F$7),aikaYEL4,4))*(VLOOKUP(MONTH('Virkamies 4'!$F$7),aikaYEL4,2)),2)</f>
        <v>0</v>
      </c>
      <c r="G69" s="15">
        <f>E69</f>
        <v>0</v>
      </c>
    </row>
    <row r="70" spans="1:11" ht="13">
      <c r="A70" s="6" t="s">
        <v>10</v>
      </c>
      <c r="C70" s="32">
        <f>'Virkamies 4'!$F$15*12*VLOOKUP($D$40,IF(DAYS360('poa2021'!$B$1,$F$6)&gt;0,'poa2021'!$B$5:$C$57,perusturva),2)</f>
        <v>0</v>
      </c>
      <c r="D70" s="83">
        <f>C70*(1+0.031*((IF(DAY('Virkamies 4'!$F$8)=31,DAYS360('Virkamies 4'!$F$6,'Virkamies 4'!$F$8,TRUE)-1,DAYS360('Virkamies 4'!$F$6,'Virkamies 4'!$F$8,TRUE)))/360))</f>
        <v>0</v>
      </c>
      <c r="E70" s="83">
        <f>SUM(E67:E69)</f>
        <v>0</v>
      </c>
      <c r="F70" s="52"/>
      <c r="G70" s="44">
        <f>SUM(G68:G69)</f>
        <v>0</v>
      </c>
    </row>
    <row r="71" spans="1:11">
      <c r="C71" s="10"/>
      <c r="G71" s="16"/>
    </row>
    <row r="72" spans="1:11" ht="13">
      <c r="A72" s="5" t="s">
        <v>4</v>
      </c>
      <c r="C72" s="13"/>
      <c r="G72" s="16"/>
    </row>
    <row r="73" spans="1:11" ht="13">
      <c r="A73" s="5"/>
      <c r="C73" s="7" t="s">
        <v>15</v>
      </c>
      <c r="D73" s="7" t="s">
        <v>15</v>
      </c>
      <c r="E73" s="7" t="s">
        <v>15</v>
      </c>
      <c r="G73" s="16"/>
    </row>
    <row r="74" spans="1:11" ht="13">
      <c r="A74" s="5"/>
      <c r="C74" s="11">
        <f>'Virkamies 4'!F$6</f>
        <v>0</v>
      </c>
      <c r="D74" s="11">
        <f>'Virkamies 4'!F$8</f>
        <v>0</v>
      </c>
      <c r="E74" s="21" t="str">
        <f>$D$41</f>
        <v>1.7.2021</v>
      </c>
      <c r="G74" s="16"/>
    </row>
    <row r="75" spans="1:11" ht="13">
      <c r="A75" s="10" t="s">
        <v>1</v>
      </c>
      <c r="C75" s="17">
        <f>C78-C77-C76</f>
        <v>0</v>
      </c>
      <c r="D75" s="17">
        <f>D78-D77-D76</f>
        <v>0</v>
      </c>
      <c r="E75" s="24">
        <f>ROUND(D75*(VLOOKUP(MONTH('Virkamies 4'!$F$7),aika4,4))*(VLOOKUP(MONTH('Virkamies 4'!$F$7),aika4,2)),2)</f>
        <v>0</v>
      </c>
      <c r="G75" s="16"/>
    </row>
    <row r="76" spans="1:11" ht="13">
      <c r="A76" s="10" t="s">
        <v>2</v>
      </c>
      <c r="C76" s="17">
        <f>'Virkamies 4'!$F$16*12*VLOOKUP($D$40,IF(DAYS360('poa2021'!$B$1,$F$6)&gt;0,'poa2021'!$F$5:$I$57,vastuunjako),3)</f>
        <v>0</v>
      </c>
      <c r="D76" s="17">
        <f>C76*(1+0.031*((IF(DAY('Virkamies 4'!$F$8)=31,DAYS360('Virkamies 4'!$F$6,'Virkamies 4'!$F$8,TRUE)-1,DAYS360('Virkamies 4'!$F$6,'Virkamies 4'!$F$8,TRUE)))/360))</f>
        <v>0</v>
      </c>
      <c r="E76" s="24">
        <f>ROUND(D76*(VLOOKUP(MONTH('Virkamies 4'!$F$7),aika4,4))*(VLOOKUP(MONTH('Virkamies 4'!$F$7),aika4,2)),2)</f>
        <v>0</v>
      </c>
      <c r="G76" s="16"/>
    </row>
    <row r="77" spans="1:11" ht="13">
      <c r="A77" s="14" t="s">
        <v>3</v>
      </c>
      <c r="B77" s="28"/>
      <c r="C77" s="15">
        <f>'Virkamies 4'!$F$16*12*VLOOKUP($D$40,IF(DAYS360('poa2021'!$B$1,$F$6)&gt;0,'poa2021'!$F$5:$I$57,vastuunjako),4)</f>
        <v>0</v>
      </c>
      <c r="D77" s="15">
        <f>C77*(1+0.031*((IF(DAY('Virkamies 4'!$F$8)=31,DAYS360('Virkamies 4'!$F$6,'Virkamies 4'!$F$8,TRUE)-1,DAYS360('Virkamies 4'!$F$6,'Virkamies 4'!$F$8,TRUE)))/360))</f>
        <v>0</v>
      </c>
      <c r="E77" s="90">
        <f>ROUND(D77*(VLOOKUP(MONTH('Virkamies 4'!$F$7),aika4,4))*(VLOOKUP(MONTH('Virkamies 4'!$F$7),aika4,2)),2)</f>
        <v>0</v>
      </c>
      <c r="G77" s="16"/>
    </row>
    <row r="78" spans="1:11">
      <c r="A78" s="6" t="s">
        <v>10</v>
      </c>
      <c r="C78" s="32">
        <f>'Virkamies 4'!$F$16*12*VLOOKUP($D$40,IF(DAYS360('poa2021'!$B$1,$F$6)&gt;0,'poa2021'!$B$5:$C$57,perusturva),2)</f>
        <v>0</v>
      </c>
      <c r="D78" s="17">
        <f>C78*(1+0.031*((IF(DAY('Virkamies 4'!$F$8)=31,DAYS360('Virkamies 4'!$F$6,'Virkamies 4'!$F$8,TRUE)-1,DAYS360('Virkamies 4'!$F$6,'Virkamies 4'!$F$8,TRUE)))/360))</f>
        <v>0</v>
      </c>
      <c r="E78" s="17">
        <f>SUM(E75:E77)</f>
        <v>0</v>
      </c>
      <c r="F78" s="52"/>
      <c r="G78" s="16"/>
      <c r="H78" s="18" t="s">
        <v>109</v>
      </c>
      <c r="I78" s="6" t="s">
        <v>110</v>
      </c>
    </row>
    <row r="79" spans="1:11">
      <c r="C79" s="17"/>
      <c r="D79" s="17"/>
      <c r="E79" s="17"/>
      <c r="G79" s="16"/>
      <c r="H79" s="12"/>
      <c r="I79" s="6" t="s">
        <v>111</v>
      </c>
    </row>
    <row r="80" spans="1:11" ht="13">
      <c r="A80" s="89" t="s">
        <v>155</v>
      </c>
      <c r="B80" s="34"/>
      <c r="C80" s="83">
        <f>'Virkamies 4'!$F$21*12*VLOOKUP($D$40,IF(DAYS360('poa2021'!$B$1,$F$6)&gt;0,'poa2021'!$B$62:$E$114,lisäturva),2)+'Virkamies 4'!$F$22*12*VLOOKUP($D$40,IF(DAYS360('poa2021'!$B$1,$F$6)&gt;0,'poa2021'!$B$62:$E$114,lisäturva),IF('Virkamies 4'!$F$23="LL",3,4))</f>
        <v>0</v>
      </c>
      <c r="D80" s="83">
        <f>C80*(1+0.031*((IF(DAY('Virkamies 4'!$F$8)=31,DAYS360('Virkamies 4'!$F$6,'Virkamies 4'!$F$8,TRUE)-1,DAYS360('Virkamies 4'!$F$6,'Virkamies 4'!$F$8,TRUE)))/360))</f>
        <v>0</v>
      </c>
      <c r="E80" s="91">
        <f>ROUND(D80*(VLOOKUP(MONTH('Virkamies 4'!$F$7),aika4,4))*(VLOOKUP(MONTH('Virkamies 4'!$F$7),aika4,2)),2)</f>
        <v>0</v>
      </c>
      <c r="F80" s="16"/>
      <c r="G80" s="18">
        <f>MAX(0,H80)</f>
        <v>0</v>
      </c>
      <c r="H80" s="13">
        <f>E80-F30-F31-F32-F33-F34-F35</f>
        <v>0</v>
      </c>
      <c r="I80" s="13">
        <f>MIN(E80,0)</f>
        <v>0</v>
      </c>
      <c r="K80" s="34"/>
    </row>
    <row r="81" spans="1:11">
      <c r="A81" s="92"/>
      <c r="B81" s="34"/>
      <c r="C81" s="83"/>
      <c r="D81" s="34"/>
      <c r="E81" s="34"/>
      <c r="G81" s="13"/>
      <c r="K81" s="34"/>
    </row>
    <row r="82" spans="1:11" ht="13">
      <c r="A82" s="89" t="s">
        <v>156</v>
      </c>
      <c r="B82" s="34"/>
      <c r="C82" s="83">
        <f>'Virkamies 4'!$F$24*12*VLOOKUP($D$40,IF(DAYS360('poa2021'!$B$1,$F$6)&gt;0,'poa2021'!$B$62:$E$114,lisäturva),2)+'Virkamies 4'!$F$25*12*VLOOKUP($D$40,IF(DAYS360('poa2021'!$B$1,$F$6)&gt;0,'poa2021'!$B$62:$E$114,lisäturva),IF('Virkamies 4'!$F$26="LL",3,4))</f>
        <v>0</v>
      </c>
      <c r="D82" s="83">
        <f>C82*(1+0.031*((IF(DAY('Virkamies 4'!$F$8)=31,DAYS360('Virkamies 4'!$F$6,'Virkamies 4'!$F$8,TRUE)-1,DAYS360('Virkamies 4'!$F$6,'Virkamies 4'!$F$8,TRUE)))/360))</f>
        <v>0</v>
      </c>
      <c r="E82" s="91">
        <f>ROUND(D82*(VLOOKUP(MONTH('Virkamies 4'!$F$7),aikaYEL4,4))*(VLOOKUP(MONTH('Virkamies 4'!$F$7),aikaYEL4,2)),2)</f>
        <v>0</v>
      </c>
      <c r="G82" s="81"/>
      <c r="K82" s="34"/>
    </row>
    <row r="83" spans="1:11" ht="13">
      <c r="A83" s="34"/>
      <c r="B83" s="34"/>
      <c r="C83" s="83"/>
      <c r="D83" s="83"/>
      <c r="E83" s="87"/>
      <c r="F83" s="88"/>
      <c r="G83" s="83"/>
      <c r="I83" s="13"/>
    </row>
    <row r="84" spans="1:11" ht="13">
      <c r="A84" s="89" t="s">
        <v>70</v>
      </c>
      <c r="B84" s="34"/>
      <c r="C84" s="13">
        <f>'Virkamies 4'!$F$17*12*VLOOKUP($D$40,IF(DAYS360('poa2021'!$B$1,$F$6)&gt;0,'poa2021'!$B$5:$C$57,perusturva),2)</f>
        <v>0</v>
      </c>
      <c r="D84" s="83">
        <f>ROUND(+C84*(1+0.031*((DAYS360($F$6,$F$8))/360)),2)</f>
        <v>0</v>
      </c>
      <c r="E84" s="24">
        <f>ROUND(D84*(VLOOKUP(MONTH('Virkamies 4'!$F$7),aika4,4))*(VLOOKUP(MONTH('Virkamies 4'!$F$7),aika4,2)),2)</f>
        <v>0</v>
      </c>
      <c r="F84" s="88"/>
      <c r="G84" s="83"/>
      <c r="I84" s="13"/>
    </row>
    <row r="85" spans="1:11" s="34" customFormat="1">
      <c r="A85" s="6"/>
      <c r="B85" s="6"/>
      <c r="C85" s="13"/>
      <c r="D85" s="83"/>
      <c r="E85" s="17"/>
      <c r="F85" s="17"/>
      <c r="G85" s="17"/>
      <c r="H85" s="6"/>
      <c r="I85" s="6"/>
      <c r="J85" s="6"/>
      <c r="K85" s="6"/>
    </row>
    <row r="86" spans="1:11" s="34" customFormat="1" ht="13">
      <c r="A86" s="5" t="s">
        <v>10</v>
      </c>
      <c r="B86" s="6"/>
      <c r="C86" s="118">
        <f>ROUND(C54+C62+C70+C78+C80+C82+C84,2)</f>
        <v>0</v>
      </c>
      <c r="D86" s="118">
        <f>ROUND(D54+D62+D70+D78+D80+D82+D84,2)</f>
        <v>0</v>
      </c>
      <c r="E86" s="118">
        <f>ROUND(E54+E62+E70+E78+E80+E82+E84,2)</f>
        <v>0</v>
      </c>
      <c r="F86" s="53"/>
      <c r="G86" s="13"/>
      <c r="H86" s="6"/>
      <c r="I86" s="6"/>
      <c r="J86" s="6"/>
      <c r="K86" s="6"/>
    </row>
    <row r="87" spans="1:11" s="34" customFormat="1">
      <c r="A87" s="6"/>
      <c r="B87" s="6"/>
      <c r="D87" s="6"/>
      <c r="E87" s="17"/>
      <c r="F87" s="6"/>
      <c r="G87" s="6"/>
      <c r="H87" s="6"/>
      <c r="I87" s="6"/>
      <c r="J87" s="6"/>
      <c r="K87" s="6"/>
    </row>
    <row r="88" spans="1:11">
      <c r="B88" s="27"/>
      <c r="C88" s="34"/>
      <c r="E88" s="54"/>
      <c r="F88" s="53"/>
    </row>
    <row r="89" spans="1:11">
      <c r="B89" s="10"/>
      <c r="C89" s="3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2" ma:contentTypeDescription="Luo uusi asiakirja." ma:contentTypeScope="" ma:versionID="af6d3db13ee845e84f6851e590021295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2f4eabac12fedabe9dd956491f43a0ff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3F66D-98B6-4D46-B967-6EA6A1B7E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102F5-2123-446F-861F-982566B6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C2222A-AA9F-4DC9-B6EF-A5A6585DBF8C}">
  <ds:schemaRefs>
    <ds:schemaRef ds:uri="http://purl.org/dc/dcmitype/"/>
    <ds:schemaRef ds:uri="http://purl.org/dc/elements/1.1/"/>
    <ds:schemaRef ds:uri="e08eed30-88ea-4b77-879b-0d8955af20b8"/>
    <ds:schemaRef ds:uri="17000b28-6ce4-40c5-ac79-5466d7aaefff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24</vt:i4>
      </vt:variant>
    </vt:vector>
  </HeadingPairs>
  <TitlesOfParts>
    <vt:vector size="39" baseType="lpstr">
      <vt:lpstr>Ohje</vt:lpstr>
      <vt:lpstr>KJ-vuosi</vt:lpstr>
      <vt:lpstr>Emenotiedosto</vt:lpstr>
      <vt:lpstr>poa2020</vt:lpstr>
      <vt:lpstr>poa2021</vt:lpstr>
      <vt:lpstr>Virkamies 1</vt:lpstr>
      <vt:lpstr>Virkamies 2</vt:lpstr>
      <vt:lpstr>Virkamies 3</vt:lpstr>
      <vt:lpstr>Virkamies 4</vt:lpstr>
      <vt:lpstr>Virkamies 5</vt:lpstr>
      <vt:lpstr>Virkamies 6</vt:lpstr>
      <vt:lpstr>Virkamies 7</vt:lpstr>
      <vt:lpstr>Virkamies 8</vt:lpstr>
      <vt:lpstr>Virkamies 9</vt:lpstr>
      <vt:lpstr>Virkamies 10</vt:lpstr>
      <vt:lpstr>aika1</vt:lpstr>
      <vt:lpstr>aika10</vt:lpstr>
      <vt:lpstr>aika2</vt:lpstr>
      <vt:lpstr>aika3</vt:lpstr>
      <vt:lpstr>aika4</vt:lpstr>
      <vt:lpstr>aika5</vt:lpstr>
      <vt:lpstr>aika6</vt:lpstr>
      <vt:lpstr>aika7</vt:lpstr>
      <vt:lpstr>aika8</vt:lpstr>
      <vt:lpstr>aika9</vt:lpstr>
      <vt:lpstr>aikaYEL1</vt:lpstr>
      <vt:lpstr>aikaYEL10</vt:lpstr>
      <vt:lpstr>aikaYEL2</vt:lpstr>
      <vt:lpstr>aikaYEL3</vt:lpstr>
      <vt:lpstr>aikaYEL4</vt:lpstr>
      <vt:lpstr>aikaYEL5</vt:lpstr>
      <vt:lpstr>aikaYEL6</vt:lpstr>
      <vt:lpstr>aikaYEL7</vt:lpstr>
      <vt:lpstr>aikaYEL8</vt:lpstr>
      <vt:lpstr>aikaYEL9</vt:lpstr>
      <vt:lpstr>lisäturva</vt:lpstr>
      <vt:lpstr>perusturva</vt:lpstr>
      <vt:lpstr>'Virkamies 1'!Tulostusalue</vt:lpstr>
      <vt:lpstr>vastuunjako</vt:lpstr>
    </vt:vector>
  </TitlesOfParts>
  <Company>ETK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Tiina Laurila</dc:creator>
  <cp:lastModifiedBy>Laitinen Anne</cp:lastModifiedBy>
  <cp:lastPrinted>2012-05-07T05:35:35Z</cp:lastPrinted>
  <dcterms:created xsi:type="dcterms:W3CDTF">2000-07-26T07:17:20Z</dcterms:created>
  <dcterms:modified xsi:type="dcterms:W3CDTF">2021-03-22T10:41:38Z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0x0101006C792F7F1555B4428F7DBDE5A96B90F6</vt:lpwstr>
  </property>
  <property fmtid="{D5CDD505-2E9C-101B-9397-08002B2CF9AE}" pid="4" name="Order">
    <vt:r8>100</vt:r8>
  </property>
</Properties>
</file>